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cmsb-my.sharepoint.com/personal/sabrams_marshall_usc_edu/Documents/Documents/FBE 421/"/>
    </mc:Choice>
  </mc:AlternateContent>
  <xr:revisionPtr revIDLastSave="0" documentId="8_{092190FE-EE92-412E-8941-062DDEAD878E}" xr6:coauthVersionLast="47" xr6:coauthVersionMax="47" xr10:uidLastSave="{00000000-0000-0000-0000-000000000000}"/>
  <bookViews>
    <workbookView xWindow="-96" yWindow="-96" windowWidth="23232" windowHeight="12552" activeTab="1" xr2:uid="{00000000-000D-0000-FFFF-FFFF00000000}"/>
  </bookViews>
  <sheets>
    <sheet name="WACCtemplate " sheetId="8" r:id="rId1"/>
    <sheet name="DCF" sheetId="3" r:id="rId2"/>
    <sheet name="DCF Assumptions" sheetId="4" r:id="rId3"/>
    <sheet name="FootballField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 localSheetId="3">#REF!</definedName>
    <definedName name="a" localSheetId="0">#REF!</definedName>
    <definedName name="a">#REF!</definedName>
    <definedName name="acq">'[1]Exhange Ratio'!$X$10</definedName>
    <definedName name="Annual" localSheetId="3">[2]IS!#REF!</definedName>
    <definedName name="Annual" localSheetId="0">[3]IS!#REF!</definedName>
    <definedName name="Annual">[4]IS!#REF!</definedName>
    <definedName name="austinstep">#REF!</definedName>
    <definedName name="AustinSum">#REF!</definedName>
    <definedName name="B" localSheetId="3">#REF!</definedName>
    <definedName name="B" localSheetId="0">#REF!</definedName>
    <definedName name="B">#REF!</definedName>
    <definedName name="Balancesheet" localSheetId="3">[2]IS!#REF!</definedName>
    <definedName name="Balancesheet" localSheetId="0">[3]IS!#REF!</definedName>
    <definedName name="Balancesheet">[4]IS!#REF!</definedName>
    <definedName name="cash">'DCF Assumptions'!$L$10</definedName>
    <definedName name="Comprables" localSheetId="3">#REF!</definedName>
    <definedName name="Comprables" localSheetId="0">#REF!</definedName>
    <definedName name="Comprables">#REF!</definedName>
    <definedName name="conf" localSheetId="3">#REF!</definedName>
    <definedName name="conf" localSheetId="0">#REF!</definedName>
    <definedName name="conf">#REF!</definedName>
    <definedName name="d" localSheetId="3">#REF!</definedName>
    <definedName name="d" localSheetId="0">#REF!</definedName>
    <definedName name="d">#REF!</definedName>
    <definedName name="debt">'DCF Assumptions'!$L$7</definedName>
    <definedName name="Enterprise_Value">'[5]LTM Price'!$E$50</definedName>
    <definedName name="F" localSheetId="3">#REF!</definedName>
    <definedName name="F" localSheetId="0">#REF!</definedName>
    <definedName name="F">#REF!</definedName>
    <definedName name="FirstCall" localSheetId="3">#REF!</definedName>
    <definedName name="FirstCall" localSheetId="0">#REF!</definedName>
    <definedName name="FirstCall">#REF!</definedName>
    <definedName name="FYE">'DCF Assumptions'!$F$7</definedName>
    <definedName name="growth.rate" localSheetId="3">[2]DCFTV!#REF!</definedName>
    <definedName name="growth.rate" localSheetId="0">[4]DCFTV!#REF!</definedName>
    <definedName name="growth.rate">[4]DCFTV!#REF!</definedName>
    <definedName name="high">'DCF Assumptions'!$L$11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 hidden="1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MES_REVISION_DATE_" hidden="1">40168.7040740741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NUSUAL_EXP" hidden="1">"c18"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low">'DCF Assumptions'!$L$12</definedName>
    <definedName name="m" localSheetId="3">#REF!</definedName>
    <definedName name="m" localSheetId="0">#REF!</definedName>
    <definedName name="m">#REF!</definedName>
    <definedName name="mininterest">'DCF Assumptions'!$L$9</definedName>
    <definedName name="multiple">'DCF Assumptions'!$F$12</definedName>
    <definedName name="Name">'DCF Assumptions'!$F$5</definedName>
    <definedName name="Output" localSheetId="3">[6]Equity!#REF!</definedName>
    <definedName name="Output" localSheetId="0">[7]Equity!#REF!</definedName>
    <definedName name="Output">[7]Equity!#REF!</definedName>
    <definedName name="OUTPUT2">[5]Equity!#REF!</definedName>
    <definedName name="Page_3">[8]Multiples!#REF!</definedName>
    <definedName name="prefstock">'DCF Assumptions'!$L$8</definedName>
    <definedName name="price" localSheetId="3">[2]IS!#REF!</definedName>
    <definedName name="price" localSheetId="0">[3]IS!#REF!</definedName>
    <definedName name="price">[4]IS!#REF!</definedName>
    <definedName name="_xlnm.Print_Area" localSheetId="1">DCF!$A$1:$AE$45</definedName>
    <definedName name="_xlnm.Print_Area" localSheetId="2">'DCF Assumptions'!$A$1:$Q$13</definedName>
    <definedName name="_xlnm.Print_Area" localSheetId="3">FootballField!$B$1:$L$30</definedName>
    <definedName name="_xlnm.Print_Area" localSheetId="0">'WACCtemplate '!$A$1:$W$64</definedName>
    <definedName name="Printsheet" localSheetId="3">[9]!Printsheet</definedName>
    <definedName name="Printsheet" localSheetId="0">[9]!Printsheet</definedName>
    <definedName name="Printsheet">[9]!Printsheet</definedName>
    <definedName name="q" localSheetId="3">#REF!</definedName>
    <definedName name="q" localSheetId="0">#REF!</definedName>
    <definedName name="q">#REF!</definedName>
    <definedName name="qvq" localSheetId="3">#REF!</definedName>
    <definedName name="qvq" localSheetId="0">#REF!</definedName>
    <definedName name="qvq">#REF!</definedName>
    <definedName name="qvqwithc" localSheetId="3">#REF!</definedName>
    <definedName name="qvqwithc" localSheetId="0">#REF!</definedName>
    <definedName name="qvqwithc">#REF!</definedName>
    <definedName name="rate">'DCF Assumptions'!$F$11</definedName>
    <definedName name="rp" localSheetId="3">[10]IS!#REF!</definedName>
    <definedName name="rp" localSheetId="0">[10]IS!#REF!</definedName>
    <definedName name="rp">[10]IS!#REF!</definedName>
    <definedName name="sastep">#REF!</definedName>
    <definedName name="sasum">#REF!</definedName>
    <definedName name="sd" localSheetId="3">[2]IS!#REF!</definedName>
    <definedName name="sd" localSheetId="0">[3]IS!#REF!</definedName>
    <definedName name="sd">[4]IS!#REF!</definedName>
    <definedName name="sd.old" localSheetId="3">[2]IS!#REF!</definedName>
    <definedName name="sd.old" localSheetId="0">[3]IS!#REF!</definedName>
    <definedName name="sd.old">[4]IS!#REF!</definedName>
    <definedName name="Sesitivity_Analysis_Austin">#REF!</definedName>
    <definedName name="shareprice">'DCF Assumptions'!$L$5</definedName>
    <definedName name="sharesout">'DCF Assumptions'!$L$6</definedName>
    <definedName name="stock_price_date" localSheetId="3">'[11]Comp Inputs'!$E$2</definedName>
    <definedName name="stock_price_date">'[12]Comp Inputs'!$E$2</definedName>
    <definedName name="Subheader">'DCF Assumptions'!$F$6</definedName>
    <definedName name="targ">'[1]Exhange Ratio'!$W$10</definedName>
    <definedName name="target">'DCF Assumptions'!$L$13</definedName>
    <definedName name="tax">'DCF Assumptions'!$F$8</definedName>
    <definedName name="termgrowth">'DCF Assumptions'!$F$10</definedName>
    <definedName name="TICKER">'[5]LTM Price'!$A$10</definedName>
    <definedName name="ticker2">[13]Input!$H$4</definedName>
    <definedName name="ticker4">[13]Ownership!$C$58</definedName>
    <definedName name="valdate">'DCF Assumptions'!$F$9</definedName>
    <definedName name="yield">'DCF Assumptions'!$F$13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3" l="1"/>
  <c r="X11" i="3" s="1"/>
  <c r="Z34" i="3"/>
  <c r="Z33" i="3"/>
  <c r="Z32" i="3"/>
  <c r="Z31" i="3"/>
  <c r="Z30" i="3"/>
  <c r="Y34" i="3"/>
  <c r="Y33" i="3"/>
  <c r="Y32" i="3"/>
  <c r="Y31" i="3"/>
  <c r="Y30" i="3"/>
  <c r="X34" i="3"/>
  <c r="X33" i="3"/>
  <c r="X32" i="3"/>
  <c r="X31" i="3"/>
  <c r="X30" i="3"/>
  <c r="Z8" i="3"/>
  <c r="Z7" i="3"/>
  <c r="Y11" i="3"/>
  <c r="Y10" i="3"/>
  <c r="Y9" i="3"/>
  <c r="Y8" i="3"/>
  <c r="Y7" i="3"/>
  <c r="J6" i="3"/>
  <c r="J7" i="3" s="1"/>
  <c r="J13" i="3"/>
  <c r="K13" i="3" s="1"/>
  <c r="Y29" i="3"/>
  <c r="X29" i="3" s="1"/>
  <c r="V29" i="3"/>
  <c r="Y6" i="3"/>
  <c r="Z6" i="3" s="1"/>
  <c r="I7" i="3"/>
  <c r="I8" i="3" s="1"/>
  <c r="I15" i="3" s="1"/>
  <c r="C7" i="10"/>
  <c r="D7" i="10"/>
  <c r="C6" i="10"/>
  <c r="D6" i="10"/>
  <c r="C5" i="10"/>
  <c r="D5" i="10"/>
  <c r="C4" i="10"/>
  <c r="D4" i="10"/>
  <c r="C3" i="10"/>
  <c r="D3" i="10"/>
  <c r="F9" i="4"/>
  <c r="V41" i="3"/>
  <c r="V18" i="3"/>
  <c r="V16" i="3"/>
  <c r="V20" i="3"/>
  <c r="V39" i="3"/>
  <c r="V43" i="3"/>
  <c r="D16" i="8"/>
  <c r="H16" i="8"/>
  <c r="D9" i="8"/>
  <c r="J26" i="8"/>
  <c r="J35" i="8" s="1"/>
  <c r="G38" i="8"/>
  <c r="E38" i="8"/>
  <c r="D38" i="8"/>
  <c r="C38" i="8"/>
  <c r="F35" i="8"/>
  <c r="F34" i="8"/>
  <c r="J32" i="8"/>
  <c r="E32" i="8"/>
  <c r="H32" i="8"/>
  <c r="J31" i="8"/>
  <c r="E31" i="8"/>
  <c r="H31" i="8"/>
  <c r="J30" i="8"/>
  <c r="E30" i="8"/>
  <c r="H30" i="8"/>
  <c r="J29" i="8"/>
  <c r="E29" i="8"/>
  <c r="H29" i="8"/>
  <c r="J28" i="8"/>
  <c r="E28" i="8"/>
  <c r="H28" i="8"/>
  <c r="J27" i="8"/>
  <c r="E27" i="8"/>
  <c r="H27" i="8"/>
  <c r="H9" i="8"/>
  <c r="H22" i="8"/>
  <c r="F11" i="4" s="1"/>
  <c r="V42" i="3"/>
  <c r="V40" i="3"/>
  <c r="V19" i="3"/>
  <c r="V17" i="3"/>
  <c r="H12" i="3"/>
  <c r="G12" i="3"/>
  <c r="H6" i="3"/>
  <c r="H7" i="3" s="1"/>
  <c r="H11" i="3"/>
  <c r="G13" i="3"/>
  <c r="H13" i="3"/>
  <c r="G11" i="3"/>
  <c r="H5" i="3"/>
  <c r="F4" i="3"/>
  <c r="A7" i="3"/>
  <c r="A2" i="4"/>
  <c r="A1" i="4"/>
  <c r="AC38" i="3"/>
  <c r="AD38" i="3" s="1"/>
  <c r="Y38" i="3"/>
  <c r="X38" i="3" s="1"/>
  <c r="AC29" i="3"/>
  <c r="AD29" i="3" s="1"/>
  <c r="AC15" i="3"/>
  <c r="AD15" i="3" s="1"/>
  <c r="Y15" i="3"/>
  <c r="X15" i="3" s="1"/>
  <c r="H10" i="3"/>
  <c r="G10" i="3"/>
  <c r="AC6" i="3"/>
  <c r="AB6" i="3" s="1"/>
  <c r="A2" i="3"/>
  <c r="T2" i="3" s="1"/>
  <c r="T1" i="3"/>
  <c r="A1" i="3"/>
  <c r="G14" i="3"/>
  <c r="H14" i="3"/>
  <c r="F5" i="3"/>
  <c r="G5" i="3"/>
  <c r="F6" i="3"/>
  <c r="F8" i="3" s="1"/>
  <c r="G6" i="3"/>
  <c r="G8" i="3" s="1"/>
  <c r="G15" i="3" s="1"/>
  <c r="X7" i="3" l="1"/>
  <c r="Z10" i="3"/>
  <c r="X9" i="3"/>
  <c r="Z9" i="3"/>
  <c r="Z11" i="3"/>
  <c r="X8" i="3"/>
  <c r="X10" i="3"/>
  <c r="AB29" i="3"/>
  <c r="AD6" i="3"/>
  <c r="AB38" i="3"/>
  <c r="G7" i="3"/>
  <c r="K6" i="3"/>
  <c r="L6" i="3" s="1"/>
  <c r="M6" i="3" s="1"/>
  <c r="N6" i="3" s="1"/>
  <c r="Z15" i="3"/>
  <c r="F7" i="3"/>
  <c r="AB15" i="3"/>
  <c r="N7" i="3"/>
  <c r="N8" i="3" s="1"/>
  <c r="N15" i="3" s="1"/>
  <c r="M7" i="3"/>
  <c r="M8" i="3" s="1"/>
  <c r="M15" i="3" s="1"/>
  <c r="J8" i="3"/>
  <c r="J15" i="3" s="1"/>
  <c r="T41" i="3"/>
  <c r="T32" i="3"/>
  <c r="T9" i="3"/>
  <c r="T18" i="3"/>
  <c r="L13" i="3"/>
  <c r="M13" i="3" s="1"/>
  <c r="N13" i="3" s="1"/>
  <c r="H8" i="3"/>
  <c r="H15" i="3" s="1"/>
  <c r="H16" i="3" s="1"/>
  <c r="X6" i="3"/>
  <c r="Z29" i="3"/>
  <c r="E26" i="8"/>
  <c r="J34" i="8"/>
  <c r="Z38" i="3"/>
  <c r="P13" i="3" l="1"/>
  <c r="O13" i="3"/>
  <c r="P6" i="3"/>
  <c r="P7" i="3" s="1"/>
  <c r="P8" i="3" s="1"/>
  <c r="P15" i="3" s="1"/>
  <c r="O6" i="3"/>
  <c r="L7" i="3"/>
  <c r="L8" i="3" s="1"/>
  <c r="L15" i="3" s="1"/>
  <c r="K7" i="3"/>
  <c r="K8" i="3" s="1"/>
  <c r="K15" i="3" s="1"/>
  <c r="T33" i="3"/>
  <c r="T34" i="3" s="1"/>
  <c r="T31" i="3"/>
  <c r="T30" i="3" s="1"/>
  <c r="T40" i="3"/>
  <c r="T39" i="3" s="1"/>
  <c r="T42" i="3"/>
  <c r="T43" i="3" s="1"/>
  <c r="E35" i="8"/>
  <c r="E39" i="8" s="1"/>
  <c r="E34" i="8"/>
  <c r="H26" i="8"/>
  <c r="T17" i="3"/>
  <c r="T16" i="3" s="1"/>
  <c r="T19" i="3"/>
  <c r="T20" i="3" s="1"/>
  <c r="T10" i="3"/>
  <c r="T8" i="3"/>
  <c r="O7" i="3" l="1"/>
  <c r="O8" i="3" s="1"/>
  <c r="O15" i="3" s="1"/>
  <c r="H34" i="8"/>
  <c r="H35" i="8"/>
  <c r="T7" i="3"/>
  <c r="T11" i="3"/>
  <c r="V9" i="3" l="1"/>
  <c r="V10" i="3"/>
  <c r="AD10" i="3" s="1"/>
  <c r="Z19" i="3" s="1"/>
  <c r="AD19" i="3" s="1"/>
  <c r="V8" i="3"/>
  <c r="AD8" i="3" s="1"/>
  <c r="Z17" i="3" s="1"/>
  <c r="AD17" i="3" s="1"/>
  <c r="V11" i="3"/>
  <c r="V7" i="3"/>
  <c r="AB10" i="3"/>
  <c r="X19" i="3" s="1"/>
  <c r="AB19" i="3" s="1"/>
  <c r="AC10" i="3"/>
  <c r="Y19" i="3" s="1"/>
  <c r="AC19" i="3" s="1"/>
  <c r="V33" i="3"/>
  <c r="AC8" i="3"/>
  <c r="Y17" i="3" s="1"/>
  <c r="AC17" i="3" s="1"/>
  <c r="V31" i="3"/>
  <c r="AB8" i="3"/>
  <c r="X17" i="3" s="1"/>
  <c r="AB17" i="3" s="1"/>
  <c r="H40" i="8"/>
  <c r="H39" i="8"/>
  <c r="AB9" i="3" l="1"/>
  <c r="X18" i="3" s="1"/>
  <c r="AB18" i="3" s="1"/>
  <c r="AC9" i="3"/>
  <c r="Y18" i="3" s="1"/>
  <c r="AC18" i="3" s="1"/>
  <c r="AD9" i="3"/>
  <c r="Z18" i="3" s="1"/>
  <c r="AD18" i="3" s="1"/>
  <c r="V32" i="3"/>
  <c r="AB7" i="3"/>
  <c r="X16" i="3" s="1"/>
  <c r="AB16" i="3" s="1"/>
  <c r="AC7" i="3"/>
  <c r="Y16" i="3" s="1"/>
  <c r="AC16" i="3" s="1"/>
  <c r="AD7" i="3"/>
  <c r="Z16" i="3" s="1"/>
  <c r="AD16" i="3" s="1"/>
  <c r="V30" i="3"/>
  <c r="AD31" i="3"/>
  <c r="Z40" i="3" s="1"/>
  <c r="AD40" i="3" s="1"/>
  <c r="AB31" i="3"/>
  <c r="X40" i="3" s="1"/>
  <c r="AB40" i="3" s="1"/>
  <c r="AC31" i="3"/>
  <c r="Y40" i="3" s="1"/>
  <c r="AC40" i="3" s="1"/>
  <c r="AD33" i="3"/>
  <c r="Z42" i="3" s="1"/>
  <c r="AD42" i="3" s="1"/>
  <c r="AC33" i="3"/>
  <c r="Y42" i="3" s="1"/>
  <c r="AC42" i="3" s="1"/>
  <c r="AB33" i="3"/>
  <c r="X42" i="3" s="1"/>
  <c r="AB42" i="3" s="1"/>
  <c r="AB11" i="3"/>
  <c r="X20" i="3" s="1"/>
  <c r="AB20" i="3" s="1"/>
  <c r="V34" i="3"/>
  <c r="AD11" i="3"/>
  <c r="Z20" i="3" s="1"/>
  <c r="AD20" i="3" s="1"/>
  <c r="AC11" i="3"/>
  <c r="Y20" i="3" s="1"/>
  <c r="AC20" i="3" s="1"/>
  <c r="AB32" i="3" l="1"/>
  <c r="X41" i="3" s="1"/>
  <c r="AB41" i="3" s="1"/>
  <c r="AC32" i="3"/>
  <c r="Y41" i="3" s="1"/>
  <c r="AC41" i="3" s="1"/>
  <c r="AD32" i="3"/>
  <c r="Z41" i="3" s="1"/>
  <c r="AD41" i="3" s="1"/>
  <c r="AD34" i="3"/>
  <c r="Z43" i="3" s="1"/>
  <c r="AD43" i="3" s="1"/>
  <c r="AC34" i="3"/>
  <c r="Y43" i="3" s="1"/>
  <c r="AC43" i="3" s="1"/>
  <c r="AB34" i="3"/>
  <c r="X43" i="3" s="1"/>
  <c r="AB43" i="3" s="1"/>
  <c r="AD30" i="3"/>
  <c r="Z39" i="3" s="1"/>
  <c r="AD39" i="3" s="1"/>
  <c r="AC30" i="3"/>
  <c r="Y39" i="3" s="1"/>
  <c r="AC39" i="3" s="1"/>
  <c r="AB30" i="3"/>
  <c r="X39" i="3" s="1"/>
  <c r="AB3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sabrams</author>
  </authors>
  <commentList>
    <comment ref="G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kfinn: </t>
        </r>
        <r>
          <rPr>
            <sz val="9"/>
            <color indexed="81"/>
            <rFont val="Tahoma"/>
            <family val="2"/>
          </rPr>
          <t xml:space="preserve">This is a proxy.
</t>
        </r>
      </text>
    </comment>
    <comment ref="H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kfinn:  </t>
        </r>
        <r>
          <rPr>
            <sz val="9"/>
            <color indexed="81"/>
            <rFont val="Tahoma"/>
            <family val="2"/>
          </rPr>
          <t xml:space="preserve">This is a proxy.
</t>
        </r>
      </text>
    </comment>
    <comment ref="J21" authorId="1" shapeId="0" xr:uid="{00000000-0006-0000-0100-000003000000}">
      <text>
        <r>
          <rPr>
            <b/>
            <sz val="10"/>
            <color indexed="81"/>
            <rFont val="Tahoma"/>
            <family val="2"/>
          </rPr>
          <t>sabrams:</t>
        </r>
        <r>
          <rPr>
            <sz val="10"/>
            <color indexed="81"/>
            <rFont val="Tahoma"/>
            <family val="2"/>
          </rPr>
          <t xml:space="preserve">
Enter in base case EV/EBITDA multiple on DCF assumptions tab</t>
        </r>
      </text>
    </comment>
  </commentList>
</comments>
</file>

<file path=xl/sharedStrings.xml><?xml version="1.0" encoding="utf-8"?>
<sst xmlns="http://schemas.openxmlformats.org/spreadsheetml/2006/main" count="132" uniqueCount="112">
  <si>
    <t>Dividend Yield</t>
  </si>
  <si>
    <t>A</t>
  </si>
  <si>
    <t>+</t>
  </si>
  <si>
    <t>B</t>
  </si>
  <si>
    <t>=</t>
  </si>
  <si>
    <t>C</t>
  </si>
  <si>
    <t>PV of Cash</t>
  </si>
  <si>
    <t xml:space="preserve">Present Value of Residual at Exit Multiple of: </t>
  </si>
  <si>
    <t xml:space="preserve">Enterprise Value at Exit Multiple of: </t>
  </si>
  <si>
    <t>Discount Rate</t>
  </si>
  <si>
    <t>Net Operating Profit After Taxes (NOPAT)</t>
  </si>
  <si>
    <t>-</t>
  </si>
  <si>
    <t>D</t>
  </si>
  <si>
    <t>E</t>
  </si>
  <si>
    <t>F</t>
  </si>
  <si>
    <t xml:space="preserve">Equity Value at Exit Multiple of: </t>
  </si>
  <si>
    <t xml:space="preserve">Per Share Value at Exit Multiple of: </t>
  </si>
  <si>
    <t>Plus:  Depreciation</t>
  </si>
  <si>
    <r>
      <t xml:space="preserve">Net Debt </t>
    </r>
    <r>
      <rPr>
        <b/>
        <vertAlign val="superscript"/>
        <sz val="11"/>
        <rFont val="Garamond"/>
        <family val="1"/>
      </rPr>
      <t>(1)</t>
    </r>
  </si>
  <si>
    <t>Plus:  Amortization</t>
  </si>
  <si>
    <t>Plus:  Share-based Compensation</t>
  </si>
  <si>
    <t>Less:  Capital Expenditures</t>
  </si>
  <si>
    <t>Less:  Working Capital Investment</t>
  </si>
  <si>
    <t>Unlevered Free Cash Flow</t>
  </si>
  <si>
    <t xml:space="preserve">Present Value of Residual at Growth Rate of: </t>
  </si>
  <si>
    <t xml:space="preserve">Enterprise Value at Growth Rate of: </t>
  </si>
  <si>
    <t>EBIT</t>
  </si>
  <si>
    <t xml:space="preserve">Equity Value at Growth Rate of: </t>
  </si>
  <si>
    <t xml:space="preserve">Per Share Value at Growth Rate of: </t>
  </si>
  <si>
    <t>(1) Adjustment also accounts for preferred stock and minority interest.</t>
  </si>
  <si>
    <t>Company Information</t>
  </si>
  <si>
    <t>Input</t>
  </si>
  <si>
    <t>Definition</t>
  </si>
  <si>
    <t>Company Name</t>
  </si>
  <si>
    <t>"name"</t>
  </si>
  <si>
    <t>Sub-header</t>
  </si>
  <si>
    <t>Dollars in millions, except per share</t>
  </si>
  <si>
    <t>"subheader"</t>
  </si>
  <si>
    <t>Fully-diluted Shares</t>
  </si>
  <si>
    <t>"sharesout"</t>
  </si>
  <si>
    <t>Last Fiscal Year End</t>
  </si>
  <si>
    <t>"FYE"</t>
  </si>
  <si>
    <t>Debt</t>
  </si>
  <si>
    <t>"debt"</t>
  </si>
  <si>
    <t>Tax Rate</t>
  </si>
  <si>
    <t>"tax"</t>
  </si>
  <si>
    <t>Preferred Stock</t>
  </si>
  <si>
    <t>"prefstock"</t>
  </si>
  <si>
    <t>Valuation Date</t>
  </si>
  <si>
    <t>"valdate"</t>
  </si>
  <si>
    <t>Minority Interest</t>
  </si>
  <si>
    <t>"mininterest"</t>
  </si>
  <si>
    <t>Terminal Growth Rate</t>
  </si>
  <si>
    <t>"termgrowth"</t>
  </si>
  <si>
    <t>Cash &amp; Cash Equiv</t>
  </si>
  <si>
    <t>"cash"</t>
  </si>
  <si>
    <t>Discount rate</t>
  </si>
  <si>
    <t>"rate"</t>
  </si>
  <si>
    <t>Exit Multiple</t>
  </si>
  <si>
    <t>"multiple"</t>
  </si>
  <si>
    <t>"yield"</t>
  </si>
  <si>
    <t>High</t>
  </si>
  <si>
    <t>Low</t>
  </si>
  <si>
    <t>WACC and Capital Structure Analysis</t>
    <phoneticPr fontId="14" type="noConversion"/>
  </si>
  <si>
    <t>WACC</t>
  </si>
  <si>
    <t>Estimated All-In Cost for Company</t>
    <phoneticPr fontId="14" type="noConversion"/>
  </si>
  <si>
    <t>Tax Rate</t>
    <phoneticPr fontId="14" type="noConversion"/>
  </si>
  <si>
    <t>Risk Free Rate</t>
    <phoneticPr fontId="14" type="noConversion"/>
  </si>
  <si>
    <t>Target Beta</t>
    <phoneticPr fontId="14" type="noConversion"/>
  </si>
  <si>
    <t>Market Risk Premium</t>
  </si>
  <si>
    <t>D/V</t>
  </si>
  <si>
    <t>E/V</t>
  </si>
  <si>
    <t>Industry Analysis for Beta and Capital Structure</t>
  </si>
  <si>
    <t>Implied</t>
  </si>
  <si>
    <t>Analysis of Comparable Companies</t>
  </si>
  <si>
    <t>total debt</t>
  </si>
  <si>
    <t>total equity</t>
  </si>
  <si>
    <t>D/E</t>
  </si>
  <si>
    <t>ßL</t>
  </si>
  <si>
    <t>tax rate</t>
  </si>
  <si>
    <t>ßU calc</t>
  </si>
  <si>
    <t>comp 1</t>
    <phoneticPr fontId="14" type="noConversion"/>
  </si>
  <si>
    <t>comp 2</t>
    <phoneticPr fontId="14" type="noConversion"/>
  </si>
  <si>
    <t>comp 3</t>
    <phoneticPr fontId="14" type="noConversion"/>
  </si>
  <si>
    <t>comp 4</t>
    <phoneticPr fontId="14" type="noConversion"/>
  </si>
  <si>
    <t>comp 5</t>
    <phoneticPr fontId="14" type="noConversion"/>
  </si>
  <si>
    <t>comp 6</t>
    <phoneticPr fontId="14" type="noConversion"/>
  </si>
  <si>
    <t>comp 7</t>
    <phoneticPr fontId="14" type="noConversion"/>
  </si>
  <si>
    <t>Median Industry</t>
  </si>
  <si>
    <t>Average Industry</t>
  </si>
  <si>
    <t>ßL calc</t>
  </si>
  <si>
    <t>Target Co - assuming industry capital structure</t>
    <phoneticPr fontId="14" type="noConversion"/>
  </si>
  <si>
    <t>Target Co - no debt</t>
    <phoneticPr fontId="14" type="noConversion"/>
  </si>
  <si>
    <t>Cost of Debt (Rd):</t>
  </si>
  <si>
    <t>Cost of Equity (Re):</t>
  </si>
  <si>
    <t>Weighted Average Cost of Capital (WACC):</t>
  </si>
  <si>
    <t>Valuation Method</t>
  </si>
  <si>
    <t>Valuation Range</t>
  </si>
  <si>
    <t>ABC Inc.</t>
  </si>
  <si>
    <t>difference between low and high</t>
  </si>
  <si>
    <t xml:space="preserve">Note: change the maximum on the x-axis </t>
  </si>
  <si>
    <t>once you have a good range of values</t>
  </si>
  <si>
    <t>Gordon Growth ~ Terminal Value growth rate</t>
  </si>
  <si>
    <t>EV/EBITDA Multiple (base case)</t>
  </si>
  <si>
    <t>Flows 2005-2008</t>
  </si>
  <si>
    <t>Projected Year Ending December 31,</t>
  </si>
  <si>
    <t>EBITDA in 2027</t>
  </si>
  <si>
    <t>Discounted Cash Flow Analysis - Standalone</t>
  </si>
  <si>
    <t>Discounted Cash Flow Analysis - Merger Valuation</t>
  </si>
  <si>
    <t>DCF (Standalone) with Exit Multiple</t>
  </si>
  <si>
    <t>DCF (Merger) with Exit Multiple</t>
  </si>
  <si>
    <t>Comparable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</si>
</sst>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_);_(@_)"/>
    <numFmt numFmtId="165" formatCode="_(* #,##0.0_);_(* \(#,##0.0\);_(* &quot;-&quot;?_);_(@_)"/>
    <numFmt numFmtId="166" formatCode="0.0%"/>
    <numFmt numFmtId="167" formatCode="0_);\(0\)"/>
    <numFmt numFmtId="168" formatCode="&quot;$&quot;#,##0.0_);\(&quot;$&quot;#,##0.0\)"/>
    <numFmt numFmtId="169" formatCode="#,##0.0%_);\(#,##0.0%\)"/>
    <numFmt numFmtId="170" formatCode="#0.0\x"/>
    <numFmt numFmtId="171" formatCode="#,##0.0_);\(#,##0.0\)"/>
    <numFmt numFmtId="172" formatCode="#,##0.00%_);\(#,##0.00%\)"/>
    <numFmt numFmtId="173" formatCode="_(0.0%;_(* \(0.0\)%"/>
    <numFmt numFmtId="174" formatCode="&quot;$&quot;#,##0"/>
    <numFmt numFmtId="175" formatCode="_(0.00%;_(* \(0.00\)%"/>
    <numFmt numFmtId="176" formatCode="_(* #,##0.000_);_(* \(#,##0.000\);_(* &quot;-&quot;??_);_(@_)"/>
    <numFmt numFmtId="177" formatCode="&quot;$&quot;#,##0.0_);[Red]\(&quot;$&quot;#,##0.0\)"/>
    <numFmt numFmtId="178" formatCode="0.0\x"/>
    <numFmt numFmtId="179" formatCode="_(* #,##0_);_(* \(#,##0\);_(* &quot;-&quot;??_);_(@_)"/>
  </numFmts>
  <fonts count="55" x14ac:knownFonts="1"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Times New Roman"/>
      <family val="1"/>
    </font>
    <font>
      <b/>
      <u val="singleAccounting"/>
      <sz val="8"/>
      <color indexed="8"/>
      <name val="Arial"/>
      <family val="2"/>
    </font>
    <font>
      <sz val="1"/>
      <color indexed="9"/>
      <name val="Symbol"/>
      <family val="1"/>
      <charset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3"/>
      <color indexed="8"/>
      <name val="Verdana"/>
      <family val="2"/>
    </font>
    <font>
      <u/>
      <sz val="10"/>
      <name val="Garamond"/>
      <family val="1"/>
    </font>
    <font>
      <sz val="10"/>
      <name val="Garamond"/>
      <family val="1"/>
    </font>
    <font>
      <u/>
      <sz val="11"/>
      <name val="Garamond"/>
      <family val="1"/>
    </font>
    <font>
      <sz val="11"/>
      <name val="Garamond"/>
      <family val="1"/>
    </font>
    <font>
      <i/>
      <sz val="1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sz val="11"/>
      <color rgb="FF0070C0"/>
      <name val="Garamond"/>
      <family val="1"/>
    </font>
    <font>
      <b/>
      <sz val="14"/>
      <name val="Garamond"/>
      <family val="1"/>
    </font>
    <font>
      <b/>
      <sz val="8"/>
      <name val="Garamond"/>
      <family val="1"/>
    </font>
    <font>
      <sz val="8"/>
      <name val="Garamond"/>
      <family val="1"/>
    </font>
    <font>
      <sz val="11"/>
      <color theme="0"/>
      <name val="Garamond"/>
      <family val="1"/>
    </font>
    <font>
      <sz val="11"/>
      <color indexed="12"/>
      <name val="Garamond"/>
      <family val="1"/>
    </font>
    <font>
      <b/>
      <sz val="14"/>
      <color indexed="8"/>
      <name val="Garamond"/>
      <family val="1"/>
    </font>
    <font>
      <sz val="6"/>
      <name val="Garamond"/>
      <family val="1"/>
    </font>
    <font>
      <b/>
      <sz val="10"/>
      <color indexed="10"/>
      <name val="Garamond"/>
      <family val="1"/>
    </font>
    <font>
      <b/>
      <sz val="11"/>
      <color indexed="10"/>
      <name val="Garamond"/>
      <family val="1"/>
    </font>
    <font>
      <sz val="11"/>
      <color indexed="17"/>
      <name val="Garamond"/>
      <family val="1"/>
    </font>
    <font>
      <sz val="11"/>
      <color indexed="23"/>
      <name val="Garamond"/>
      <family val="1"/>
    </font>
    <font>
      <b/>
      <vertAlign val="superscript"/>
      <sz val="11"/>
      <name val="Garamond"/>
      <family val="1"/>
    </font>
    <font>
      <sz val="12"/>
      <name val="Times New Roman"/>
      <family val="1"/>
    </font>
    <font>
      <sz val="10"/>
      <name val="Arial"/>
      <family val="2"/>
    </font>
    <font>
      <sz val="12"/>
      <name val="Garamond"/>
      <family val="1"/>
    </font>
    <font>
      <b/>
      <sz val="12"/>
      <color indexed="8"/>
      <name val="Garamond"/>
      <family val="1"/>
    </font>
    <font>
      <b/>
      <i/>
      <sz val="12"/>
      <name val="Garamond"/>
      <family val="1"/>
    </font>
    <font>
      <b/>
      <sz val="12"/>
      <name val="Garamond"/>
      <family val="1"/>
    </font>
    <font>
      <i/>
      <sz val="12"/>
      <name val="Garamond"/>
      <family val="1"/>
    </font>
    <font>
      <b/>
      <u/>
      <sz val="12"/>
      <name val="Garamond"/>
      <family val="1"/>
    </font>
    <font>
      <u/>
      <sz val="12"/>
      <name val="Garamond"/>
      <family val="1"/>
    </font>
    <font>
      <u/>
      <sz val="12"/>
      <color indexed="8"/>
      <name val="Garamond"/>
      <family val="1"/>
    </font>
    <font>
      <sz val="12"/>
      <color indexed="0"/>
      <name val="Garamond"/>
      <family val="1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" fillId="0" borderId="0" applyAlignment="0"/>
    <xf numFmtId="0" fontId="7" fillId="3" borderId="0" applyAlignment="0"/>
    <xf numFmtId="44" fontId="1" fillId="0" borderId="0" applyFont="0" applyFill="0" applyBorder="0" applyAlignment="0" applyProtection="0"/>
    <xf numFmtId="0" fontId="8" fillId="0" borderId="0" applyAlignment="0"/>
    <xf numFmtId="0" fontId="9" fillId="4" borderId="0" applyAlignment="0"/>
    <xf numFmtId="0" fontId="10" fillId="5" borderId="0" applyAlignment="0"/>
    <xf numFmtId="0" fontId="11" fillId="0" borderId="0" applyAlignment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0" fontId="14" fillId="6" borderId="0" applyAlignment="0"/>
    <xf numFmtId="0" fontId="15" fillId="0" borderId="0" applyAlignment="0"/>
    <xf numFmtId="0" fontId="16" fillId="0" borderId="0" applyAlignment="0"/>
    <xf numFmtId="0" fontId="17" fillId="0" borderId="0" applyAlignment="0"/>
    <xf numFmtId="0" fontId="18" fillId="0" borderId="0" applyAlignment="0"/>
    <xf numFmtId="0" fontId="5" fillId="0" borderId="0" applyAlignment="0"/>
    <xf numFmtId="0" fontId="19" fillId="0" borderId="0" applyAlignment="0"/>
    <xf numFmtId="0" fontId="17" fillId="0" borderId="0" applyAlignment="0">
      <alignment wrapText="1"/>
    </xf>
    <xf numFmtId="0" fontId="40" fillId="0" borderId="0" applyFont="0" applyFill="0" applyBorder="0" applyAlignment="0" applyProtection="0"/>
    <xf numFmtId="0" fontId="41" fillId="0" borderId="0"/>
    <xf numFmtId="173" fontId="40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8" fillId="0" borderId="0" xfId="0" applyFont="1"/>
    <xf numFmtId="0" fontId="29" fillId="0" borderId="0" xfId="0" applyFont="1" applyProtection="1">
      <protection locked="0"/>
    </xf>
    <xf numFmtId="0" fontId="29" fillId="0" borderId="0" xfId="0" applyFont="1"/>
    <xf numFmtId="0" fontId="30" fillId="0" borderId="0" xfId="0" applyFont="1"/>
    <xf numFmtId="0" fontId="24" fillId="0" borderId="3" xfId="0" applyFont="1" applyBorder="1"/>
    <xf numFmtId="0" fontId="23" fillId="0" borderId="3" xfId="0" applyFont="1" applyBorder="1"/>
    <xf numFmtId="0" fontId="26" fillId="0" borderId="3" xfId="0" applyFont="1" applyBorder="1"/>
    <xf numFmtId="0" fontId="26" fillId="0" borderId="0" xfId="0" applyFont="1"/>
    <xf numFmtId="0" fontId="23" fillId="0" borderId="4" xfId="0" applyFont="1" applyBorder="1"/>
    <xf numFmtId="0" fontId="23" fillId="0" borderId="2" xfId="0" applyFont="1" applyBorder="1"/>
    <xf numFmtId="0" fontId="23" fillId="0" borderId="5" xfId="0" applyFont="1" applyBorder="1"/>
    <xf numFmtId="0" fontId="25" fillId="2" borderId="6" xfId="0" applyFont="1" applyFill="1" applyBorder="1" applyAlignment="1">
      <alignment horizontal="centerContinuous"/>
    </xf>
    <xf numFmtId="0" fontId="31" fillId="2" borderId="6" xfId="0" applyFont="1" applyFill="1" applyBorder="1" applyAlignment="1">
      <alignment horizontal="centerContinuous"/>
    </xf>
    <xf numFmtId="0" fontId="25" fillId="2" borderId="7" xfId="0" applyFont="1" applyFill="1" applyBorder="1" applyAlignment="1">
      <alignment horizontal="centerContinuous"/>
    </xf>
    <xf numFmtId="0" fontId="25" fillId="2" borderId="8" xfId="0" applyFont="1" applyFill="1" applyBorder="1" applyAlignment="1">
      <alignment horizontal="centerContinuous"/>
    </xf>
    <xf numFmtId="0" fontId="23" fillId="0" borderId="0" xfId="0" quotePrefix="1" applyFont="1" applyAlignment="1">
      <alignment horizontal="center"/>
    </xf>
    <xf numFmtId="0" fontId="23" fillId="0" borderId="10" xfId="0" applyFont="1" applyBorder="1"/>
    <xf numFmtId="0" fontId="25" fillId="2" borderId="0" xfId="0" applyFont="1" applyFill="1" applyAlignment="1">
      <alignment horizontal="centerContinuous"/>
    </xf>
    <xf numFmtId="0" fontId="23" fillId="0" borderId="0" xfId="0" applyFont="1" applyAlignment="1">
      <alignment horizontal="center"/>
    </xf>
    <xf numFmtId="0" fontId="23" fillId="2" borderId="0" xfId="0" applyFont="1" applyFill="1" applyAlignment="1">
      <alignment horizontal="centerContinuous"/>
    </xf>
    <xf numFmtId="0" fontId="23" fillId="2" borderId="11" xfId="0" applyFont="1" applyFill="1" applyBorder="1" applyAlignment="1">
      <alignment horizontal="centerContinuous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3" fillId="0" borderId="11" xfId="0" applyFont="1" applyBorder="1" applyAlignment="1">
      <alignment horizontal="centerContinuous"/>
    </xf>
    <xf numFmtId="0" fontId="23" fillId="0" borderId="11" xfId="0" applyFont="1" applyBorder="1"/>
    <xf numFmtId="0" fontId="23" fillId="0" borderId="0" xfId="0" applyFont="1" applyAlignment="1">
      <alignment horizontal="left"/>
    </xf>
    <xf numFmtId="169" fontId="24" fillId="0" borderId="0" xfId="0" applyNumberFormat="1" applyFont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70" fontId="26" fillId="0" borderId="1" xfId="0" applyNumberFormat="1" applyFont="1" applyBorder="1" applyAlignment="1">
      <alignment horizontal="center"/>
    </xf>
    <xf numFmtId="170" fontId="26" fillId="0" borderId="13" xfId="0" applyNumberFormat="1" applyFont="1" applyBorder="1" applyAlignment="1">
      <alignment horizontal="center"/>
    </xf>
    <xf numFmtId="0" fontId="24" fillId="0" borderId="0" xfId="0" applyFont="1" applyAlignment="1">
      <alignment horizontal="left"/>
    </xf>
    <xf numFmtId="171" fontId="23" fillId="0" borderId="0" xfId="0" applyNumberFormat="1" applyFont="1"/>
    <xf numFmtId="9" fontId="24" fillId="0" borderId="0" xfId="0" applyNumberFormat="1" applyFont="1"/>
    <xf numFmtId="166" fontId="23" fillId="0" borderId="10" xfId="0" applyNumberFormat="1" applyFont="1" applyBorder="1"/>
    <xf numFmtId="42" fontId="23" fillId="0" borderId="0" xfId="0" applyNumberFormat="1" applyFont="1"/>
    <xf numFmtId="42" fontId="23" fillId="0" borderId="11" xfId="0" applyNumberFormat="1" applyFont="1" applyBorder="1"/>
    <xf numFmtId="41" fontId="23" fillId="0" borderId="0" xfId="0" applyNumberFormat="1" applyFont="1"/>
    <xf numFmtId="41" fontId="23" fillId="0" borderId="11" xfId="0" applyNumberFormat="1" applyFont="1" applyBorder="1"/>
    <xf numFmtId="166" fontId="23" fillId="0" borderId="10" xfId="2" applyNumberFormat="1" applyFont="1" applyBorder="1"/>
    <xf numFmtId="171" fontId="23" fillId="0" borderId="2" xfId="0" applyNumberFormat="1" applyFont="1" applyBorder="1"/>
    <xf numFmtId="169" fontId="23" fillId="0" borderId="0" xfId="0" applyNumberFormat="1" applyFont="1"/>
    <xf numFmtId="44" fontId="23" fillId="0" borderId="0" xfId="0" applyNumberFormat="1" applyFont="1"/>
    <xf numFmtId="44" fontId="23" fillId="0" borderId="11" xfId="0" applyNumberFormat="1" applyFont="1" applyBorder="1"/>
    <xf numFmtId="43" fontId="23" fillId="0" borderId="0" xfId="0" applyNumberFormat="1" applyFont="1"/>
    <xf numFmtId="43" fontId="23" fillId="0" borderId="11" xfId="0" applyNumberFormat="1" applyFont="1" applyBorder="1"/>
    <xf numFmtId="171" fontId="23" fillId="0" borderId="1" xfId="0" applyNumberFormat="1" applyFont="1" applyBorder="1"/>
    <xf numFmtId="0" fontId="26" fillId="0" borderId="0" xfId="0" applyFont="1" applyAlignment="1">
      <alignment horizontal="left"/>
    </xf>
    <xf numFmtId="171" fontId="26" fillId="0" borderId="0" xfId="0" applyNumberFormat="1" applyFont="1"/>
    <xf numFmtId="168" fontId="26" fillId="0" borderId="0" xfId="0" applyNumberFormat="1" applyFont="1"/>
    <xf numFmtId="166" fontId="23" fillId="0" borderId="12" xfId="0" applyNumberFormat="1" applyFont="1" applyBorder="1"/>
    <xf numFmtId="0" fontId="23" fillId="0" borderId="1" xfId="0" applyFont="1" applyBorder="1"/>
    <xf numFmtId="41" fontId="23" fillId="0" borderId="1" xfId="0" applyNumberFormat="1" applyFont="1" applyBorder="1"/>
    <xf numFmtId="43" fontId="23" fillId="0" borderId="1" xfId="0" applyNumberFormat="1" applyFont="1" applyBorder="1"/>
    <xf numFmtId="43" fontId="23" fillId="0" borderId="13" xfId="0" applyNumberFormat="1" applyFont="1" applyBorder="1"/>
    <xf numFmtId="166" fontId="23" fillId="0" borderId="0" xfId="0" applyNumberFormat="1" applyFont="1"/>
    <xf numFmtId="14" fontId="23" fillId="0" borderId="0" xfId="0" applyNumberFormat="1" applyFont="1"/>
    <xf numFmtId="0" fontId="22" fillId="0" borderId="0" xfId="0" applyFont="1" applyAlignment="1">
      <alignment horizontal="left"/>
    </xf>
    <xf numFmtId="166" fontId="26" fillId="0" borderId="1" xfId="0" applyNumberFormat="1" applyFont="1" applyBorder="1" applyAlignment="1">
      <alignment horizontal="center"/>
    </xf>
    <xf numFmtId="166" fontId="26" fillId="0" borderId="13" xfId="0" applyNumberFormat="1" applyFont="1" applyBorder="1" applyAlignment="1">
      <alignment horizontal="center"/>
    </xf>
    <xf numFmtId="0" fontId="24" fillId="0" borderId="0" xfId="0" applyFont="1" applyAlignment="1">
      <alignment horizontal="left" indent="1"/>
    </xf>
    <xf numFmtId="166" fontId="24" fillId="0" borderId="0" xfId="0" applyNumberFormat="1" applyFont="1" applyAlignment="1">
      <alignment horizontal="right"/>
    </xf>
    <xf numFmtId="166" fontId="24" fillId="0" borderId="0" xfId="0" applyNumberFormat="1" applyFont="1"/>
    <xf numFmtId="169" fontId="23" fillId="0" borderId="0" xfId="0" applyNumberFormat="1" applyFont="1" applyProtection="1">
      <protection locked="0"/>
    </xf>
    <xf numFmtId="168" fontId="23" fillId="0" borderId="0" xfId="0" applyNumberFormat="1" applyFont="1"/>
    <xf numFmtId="7" fontId="23" fillId="0" borderId="0" xfId="0" applyNumberFormat="1" applyFont="1"/>
    <xf numFmtId="171" fontId="23" fillId="0" borderId="0" xfId="0" applyNumberFormat="1" applyFont="1" applyProtection="1">
      <protection hidden="1"/>
    </xf>
    <xf numFmtId="172" fontId="26" fillId="0" borderId="0" xfId="0" applyNumberFormat="1" applyFont="1" applyAlignment="1">
      <alignment horizontal="center"/>
    </xf>
    <xf numFmtId="0" fontId="33" fillId="0" borderId="0" xfId="0" applyFont="1"/>
    <xf numFmtId="22" fontId="34" fillId="0" borderId="14" xfId="0" applyNumberFormat="1" applyFont="1" applyBorder="1" applyAlignment="1">
      <alignment horizontal="center"/>
    </xf>
    <xf numFmtId="0" fontId="35" fillId="0" borderId="0" xfId="0" applyFont="1"/>
    <xf numFmtId="0" fontId="20" fillId="0" borderId="0" xfId="0" applyFont="1" applyAlignment="1">
      <alignment horizontal="left"/>
    </xf>
    <xf numFmtId="39" fontId="23" fillId="0" borderId="3" xfId="0" applyNumberFormat="1" applyFont="1" applyBorder="1"/>
    <xf numFmtId="0" fontId="36" fillId="0" borderId="0" xfId="0" applyFont="1"/>
    <xf numFmtId="171" fontId="37" fillId="0" borderId="0" xfId="0" applyNumberFormat="1" applyFont="1"/>
    <xf numFmtId="39" fontId="23" fillId="0" borderId="0" xfId="0" applyNumberFormat="1" applyFont="1"/>
    <xf numFmtId="0" fontId="25" fillId="2" borderId="7" xfId="0" applyFont="1" applyFill="1" applyBorder="1"/>
    <xf numFmtId="0" fontId="31" fillId="2" borderId="8" xfId="0" applyFont="1" applyFill="1" applyBorder="1"/>
    <xf numFmtId="0" fontId="25" fillId="2" borderId="8" xfId="0" applyFont="1" applyFill="1" applyBorder="1"/>
    <xf numFmtId="0" fontId="25" fillId="2" borderId="9" xfId="0" applyFont="1" applyFill="1" applyBorder="1"/>
    <xf numFmtId="0" fontId="32" fillId="0" borderId="2" xfId="3" applyFont="1" applyBorder="1" applyAlignment="1">
      <alignment horizontal="left"/>
    </xf>
    <xf numFmtId="44" fontId="32" fillId="0" borderId="2" xfId="3" applyNumberFormat="1" applyFont="1" applyBorder="1" applyAlignment="1">
      <alignment horizontal="left"/>
    </xf>
    <xf numFmtId="0" fontId="32" fillId="0" borderId="0" xfId="0" applyFont="1" applyAlignment="1">
      <alignment horizontal="left"/>
    </xf>
    <xf numFmtId="165" fontId="32" fillId="0" borderId="0" xfId="1" applyNumberFormat="1" applyFont="1" applyBorder="1" applyAlignment="1">
      <alignment horizontal="left"/>
    </xf>
    <xf numFmtId="0" fontId="38" fillId="0" borderId="0" xfId="0" applyFont="1"/>
    <xf numFmtId="14" fontId="32" fillId="0" borderId="0" xfId="0" applyNumberFormat="1" applyFont="1" applyAlignment="1">
      <alignment horizontal="left"/>
    </xf>
    <xf numFmtId="164" fontId="32" fillId="0" borderId="0" xfId="3" applyNumberFormat="1" applyFont="1" applyAlignment="1">
      <alignment horizontal="left"/>
    </xf>
    <xf numFmtId="166" fontId="32" fillId="0" borderId="0" xfId="0" applyNumberFormat="1" applyFont="1" applyAlignment="1">
      <alignment horizontal="left"/>
    </xf>
    <xf numFmtId="44" fontId="32" fillId="0" borderId="0" xfId="3" applyNumberFormat="1" applyFont="1" applyAlignment="1">
      <alignment horizontal="left"/>
    </xf>
    <xf numFmtId="170" fontId="32" fillId="0" borderId="0" xfId="1" applyNumberFormat="1" applyFont="1" applyBorder="1" applyAlignment="1">
      <alignment horizontal="left"/>
    </xf>
    <xf numFmtId="0" fontId="23" fillId="0" borderId="12" xfId="0" applyFont="1" applyBorder="1"/>
    <xf numFmtId="166" fontId="32" fillId="0" borderId="1" xfId="0" applyNumberFormat="1" applyFont="1" applyBorder="1" applyAlignment="1">
      <alignment horizontal="left"/>
    </xf>
    <xf numFmtId="0" fontId="38" fillId="0" borderId="1" xfId="0" applyFont="1" applyBorder="1"/>
    <xf numFmtId="0" fontId="23" fillId="0" borderId="13" xfId="0" applyFont="1" applyBorder="1"/>
    <xf numFmtId="44" fontId="32" fillId="0" borderId="1" xfId="3" applyNumberFormat="1" applyFont="1" applyBorder="1" applyAlignment="1">
      <alignment horizontal="left"/>
    </xf>
    <xf numFmtId="167" fontId="26" fillId="0" borderId="6" xfId="0" applyNumberFormat="1" applyFont="1" applyBorder="1"/>
    <xf numFmtId="166" fontId="23" fillId="0" borderId="0" xfId="0" applyNumberFormat="1" applyFont="1" applyAlignment="1">
      <alignment horizontal="left"/>
    </xf>
    <xf numFmtId="0" fontId="42" fillId="0" borderId="0" xfId="26" applyFont="1" applyBorder="1"/>
    <xf numFmtId="0" fontId="43" fillId="0" borderId="0" xfId="27" applyFont="1" applyAlignment="1">
      <alignment horizontal="left"/>
    </xf>
    <xf numFmtId="0" fontId="42" fillId="0" borderId="0" xfId="26" applyFont="1"/>
    <xf numFmtId="0" fontId="44" fillId="0" borderId="14" xfId="26" applyFont="1" applyBorder="1"/>
    <xf numFmtId="0" fontId="42" fillId="0" borderId="14" xfId="26" applyFont="1" applyBorder="1"/>
    <xf numFmtId="0" fontId="21" fillId="0" borderId="0" xfId="27" applyFont="1" applyAlignment="1">
      <alignment horizontal="center"/>
    </xf>
    <xf numFmtId="0" fontId="46" fillId="0" borderId="0" xfId="26" applyFont="1" applyAlignment="1">
      <alignment horizontal="right"/>
    </xf>
    <xf numFmtId="10" fontId="42" fillId="0" borderId="0" xfId="26" applyNumberFormat="1" applyFont="1" applyFill="1"/>
    <xf numFmtId="0" fontId="42" fillId="0" borderId="0" xfId="26" applyFont="1" applyFill="1"/>
    <xf numFmtId="173" fontId="42" fillId="0" borderId="0" xfId="28" applyFont="1" applyFill="1"/>
    <xf numFmtId="173" fontId="42" fillId="0" borderId="0" xfId="28" applyFont="1"/>
    <xf numFmtId="0" fontId="47" fillId="0" borderId="0" xfId="26" applyFont="1"/>
    <xf numFmtId="0" fontId="42" fillId="0" borderId="0" xfId="27" applyFont="1"/>
    <xf numFmtId="0" fontId="48" fillId="0" borderId="0" xfId="26" applyFont="1"/>
    <xf numFmtId="166" fontId="48" fillId="0" borderId="0" xfId="29" applyNumberFormat="1" applyFont="1" applyAlignment="1">
      <alignment horizontal="right"/>
    </xf>
    <xf numFmtId="0" fontId="49" fillId="0" borderId="0" xfId="27" quotePrefix="1" applyFont="1" applyAlignment="1">
      <alignment horizontal="center"/>
    </xf>
    <xf numFmtId="174" fontId="50" fillId="7" borderId="0" xfId="27" applyNumberFormat="1" applyFont="1" applyFill="1"/>
    <xf numFmtId="10" fontId="42" fillId="0" borderId="0" xfId="26" applyNumberFormat="1" applyFont="1"/>
    <xf numFmtId="2" fontId="42" fillId="7" borderId="0" xfId="27" applyNumberFormat="1" applyFont="1" applyFill="1"/>
    <xf numFmtId="9" fontId="42" fillId="7" borderId="0" xfId="27" applyNumberFormat="1" applyFont="1" applyFill="1"/>
    <xf numFmtId="2" fontId="42" fillId="0" borderId="0" xfId="27" applyNumberFormat="1" applyFont="1"/>
    <xf numFmtId="2" fontId="45" fillId="0" borderId="0" xfId="27" applyNumberFormat="1" applyFont="1"/>
    <xf numFmtId="174" fontId="50" fillId="0" borderId="0" xfId="27" applyNumberFormat="1" applyFont="1"/>
    <xf numFmtId="10" fontId="42" fillId="0" borderId="0" xfId="27" applyNumberFormat="1" applyFont="1"/>
    <xf numFmtId="166" fontId="42" fillId="0" borderId="0" xfId="29" applyNumberFormat="1" applyFont="1" applyAlignment="1">
      <alignment horizontal="right"/>
    </xf>
    <xf numFmtId="166" fontId="42" fillId="0" borderId="0" xfId="27" applyNumberFormat="1" applyFont="1"/>
    <xf numFmtId="0" fontId="45" fillId="0" borderId="7" xfId="26" applyFont="1" applyFill="1" applyBorder="1"/>
    <xf numFmtId="0" fontId="45" fillId="0" borderId="8" xfId="26" applyFont="1" applyFill="1" applyBorder="1"/>
    <xf numFmtId="166" fontId="45" fillId="0" borderId="8" xfId="29" applyNumberFormat="1" applyFont="1" applyBorder="1" applyAlignment="1">
      <alignment horizontal="right"/>
    </xf>
    <xf numFmtId="10" fontId="45" fillId="0" borderId="8" xfId="26" applyNumberFormat="1" applyFont="1" applyFill="1" applyBorder="1"/>
    <xf numFmtId="2" fontId="45" fillId="0" borderId="8" xfId="27" applyNumberFormat="1" applyFont="1" applyBorder="1"/>
    <xf numFmtId="166" fontId="45" fillId="0" borderId="8" xfId="27" applyNumberFormat="1" applyFont="1" applyBorder="1"/>
    <xf numFmtId="166" fontId="45" fillId="0" borderId="9" xfId="27" applyNumberFormat="1" applyFont="1" applyBorder="1"/>
    <xf numFmtId="0" fontId="50" fillId="0" borderId="0" xfId="27" applyFont="1"/>
    <xf numFmtId="0" fontId="42" fillId="0" borderId="0" xfId="26" applyFont="1" applyAlignment="1">
      <alignment horizontal="right"/>
    </xf>
    <xf numFmtId="0" fontId="45" fillId="0" borderId="0" xfId="27" applyFont="1"/>
    <xf numFmtId="0" fontId="43" fillId="0" borderId="0" xfId="27" quotePrefix="1" applyFont="1"/>
    <xf numFmtId="0" fontId="42" fillId="7" borderId="0" xfId="26" applyFont="1" applyFill="1"/>
    <xf numFmtId="10" fontId="42" fillId="7" borderId="0" xfId="27" applyNumberFormat="1" applyFont="1" applyFill="1"/>
    <xf numFmtId="2" fontId="45" fillId="0" borderId="15" xfId="27" applyNumberFormat="1" applyFont="1" applyBorder="1"/>
    <xf numFmtId="0" fontId="42" fillId="0" borderId="9" xfId="26" applyFont="1" applyFill="1" applyBorder="1"/>
    <xf numFmtId="8" fontId="23" fillId="0" borderId="0" xfId="0" applyNumberFormat="1" applyFont="1"/>
    <xf numFmtId="175" fontId="45" fillId="0" borderId="7" xfId="28" applyNumberFormat="1" applyFont="1" applyFill="1" applyBorder="1"/>
    <xf numFmtId="6" fontId="23" fillId="0" borderId="0" xfId="0" applyNumberFormat="1" applyFont="1"/>
    <xf numFmtId="176" fontId="23" fillId="0" borderId="0" xfId="0" applyNumberFormat="1" applyFont="1"/>
    <xf numFmtId="10" fontId="42" fillId="0" borderId="0" xfId="28" applyNumberFormat="1" applyFont="1" applyFill="1"/>
    <xf numFmtId="43" fontId="42" fillId="0" borderId="0" xfId="1" applyFont="1" applyFill="1"/>
    <xf numFmtId="44" fontId="23" fillId="8" borderId="0" xfId="0" applyNumberFormat="1" applyFont="1" applyFill="1"/>
    <xf numFmtId="43" fontId="23" fillId="8" borderId="0" xfId="0" applyNumberFormat="1" applyFont="1" applyFill="1"/>
    <xf numFmtId="43" fontId="23" fillId="8" borderId="1" xfId="0" applyNumberFormat="1" applyFont="1" applyFill="1" applyBorder="1"/>
    <xf numFmtId="43" fontId="23" fillId="8" borderId="11" xfId="0" applyNumberFormat="1" applyFont="1" applyFill="1" applyBorder="1"/>
    <xf numFmtId="43" fontId="26" fillId="8" borderId="16" xfId="0" applyNumberFormat="1" applyFont="1" applyFill="1" applyBorder="1"/>
    <xf numFmtId="177" fontId="0" fillId="0" borderId="0" xfId="0" applyNumberFormat="1"/>
    <xf numFmtId="0" fontId="51" fillId="0" borderId="0" xfId="0" applyFont="1"/>
    <xf numFmtId="0" fontId="52" fillId="0" borderId="0" xfId="0" applyFont="1" applyAlignment="1">
      <alignment horizontal="center"/>
    </xf>
    <xf numFmtId="177" fontId="51" fillId="0" borderId="0" xfId="0" applyNumberFormat="1" applyFont="1"/>
    <xf numFmtId="177" fontId="51" fillId="7" borderId="0" xfId="0" applyNumberFormat="1" applyFont="1" applyFill="1"/>
    <xf numFmtId="171" fontId="27" fillId="0" borderId="2" xfId="0" applyNumberFormat="1" applyFont="1" applyBorder="1"/>
    <xf numFmtId="171" fontId="27" fillId="0" borderId="0" xfId="0" applyNumberFormat="1" applyFont="1"/>
    <xf numFmtId="9" fontId="23" fillId="0" borderId="0" xfId="0" applyNumberFormat="1" applyFont="1"/>
    <xf numFmtId="179" fontId="23" fillId="0" borderId="0" xfId="1" applyNumberFormat="1" applyFont="1"/>
    <xf numFmtId="178" fontId="27" fillId="0" borderId="0" xfId="0" applyNumberFormat="1" applyFont="1"/>
    <xf numFmtId="171" fontId="27" fillId="0" borderId="1" xfId="0" applyNumberFormat="1" applyFont="1" applyBorder="1"/>
    <xf numFmtId="41" fontId="23" fillId="8" borderId="0" xfId="0" applyNumberFormat="1" applyFont="1" applyFill="1"/>
    <xf numFmtId="41" fontId="23" fillId="8" borderId="11" xfId="0" applyNumberFormat="1" applyFont="1" applyFill="1" applyBorder="1"/>
    <xf numFmtId="42" fontId="23" fillId="8" borderId="0" xfId="0" applyNumberFormat="1" applyFont="1" applyFill="1"/>
  </cellXfs>
  <cellStyles count="30">
    <cellStyle name="c_HardInc " xfId="5" xr:uid="{00000000-0005-0000-0000-000000000000}"/>
    <cellStyle name="ChartingText" xfId="6" xr:uid="{00000000-0005-0000-0000-000001000000}"/>
    <cellStyle name="ColumnHeaderNormal" xfId="7" xr:uid="{00000000-0005-0000-0000-000002000000}"/>
    <cellStyle name="Comma" xfId="1" builtinId="3"/>
    <cellStyle name="Comma 2" xfId="4" xr:uid="{00000000-0005-0000-0000-000004000000}"/>
    <cellStyle name="Currency 2" xfId="8" xr:uid="{00000000-0005-0000-0000-000005000000}"/>
    <cellStyle name="Invisible" xfId="9" xr:uid="{00000000-0005-0000-0000-000006000000}"/>
    <cellStyle name="NewColumnHeaderNormal" xfId="10" xr:uid="{00000000-0005-0000-0000-000007000000}"/>
    <cellStyle name="NewSectionHeaderNormal" xfId="11" xr:uid="{00000000-0005-0000-0000-000008000000}"/>
    <cellStyle name="NewTitleNormal" xfId="12" xr:uid="{00000000-0005-0000-0000-000009000000}"/>
    <cellStyle name="Normal" xfId="0" builtinId="0"/>
    <cellStyle name="Normal 2" xfId="3" xr:uid="{00000000-0005-0000-0000-00000B000000}"/>
    <cellStyle name="Normal 2 2" xfId="13" xr:uid="{00000000-0005-0000-0000-00000C000000}"/>
    <cellStyle name="Normal 3" xfId="14" xr:uid="{00000000-0005-0000-0000-00000D000000}"/>
    <cellStyle name="Normal 4" xfId="15" xr:uid="{00000000-0005-0000-0000-00000E000000}"/>
    <cellStyle name="Normal 5" xfId="27" xr:uid="{00000000-0005-0000-0000-00000F000000}"/>
    <cellStyle name="Normal_JuliaWACC" xfId="26" xr:uid="{00000000-0005-0000-0000-000010000000}"/>
    <cellStyle name="Normal_NikeWACC" xfId="29" xr:uid="{00000000-0005-0000-0000-000011000000}"/>
    <cellStyle name="Percent" xfId="2" builtinId="5"/>
    <cellStyle name="Percent [1]" xfId="28" xr:uid="{00000000-0005-0000-0000-000013000000}"/>
    <cellStyle name="Percent 2" xfId="16" xr:uid="{00000000-0005-0000-0000-000014000000}"/>
    <cellStyle name="s_HardInc " xfId="17" xr:uid="{00000000-0005-0000-0000-000015000000}"/>
    <cellStyle name="SectionHeaderNormal" xfId="18" xr:uid="{00000000-0005-0000-0000-000016000000}"/>
    <cellStyle name="SubScript" xfId="19" xr:uid="{00000000-0005-0000-0000-000017000000}"/>
    <cellStyle name="SuperScript" xfId="20" xr:uid="{00000000-0005-0000-0000-000018000000}"/>
    <cellStyle name="TextBold" xfId="21" xr:uid="{00000000-0005-0000-0000-000019000000}"/>
    <cellStyle name="TextItalic" xfId="22" xr:uid="{00000000-0005-0000-0000-00001A000000}"/>
    <cellStyle name="TextNormal" xfId="23" xr:uid="{00000000-0005-0000-0000-00001B000000}"/>
    <cellStyle name="TitleNormal" xfId="24" xr:uid="{00000000-0005-0000-0000-00001C000000}"/>
    <cellStyle name="Total 2" xfId="25" xr:uid="{00000000-0005-0000-0000-00001D000000}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250"/>
      <c:rotY val="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3175">
          <a:solidFill>
            <a:srgbClr val="969696"/>
          </a:solidFill>
          <a:prstDash val="solid"/>
        </a:ln>
      </c:spPr>
    </c:sideWall>
    <c:backWall>
      <c:thickness val="0"/>
      <c:spPr>
        <a:noFill/>
        <a:ln w="3175">
          <a:solidFill>
            <a:srgbClr val="969696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666465928983"/>
          <c:y val="4.0160563816665509E-2"/>
          <c:w val="0.72166607937330807"/>
          <c:h val="0.87550029120330708"/>
        </c:manualLayout>
      </c:layout>
      <c:bar3DChart>
        <c:barDir val="bar"/>
        <c:grouping val="stacked"/>
        <c:varyColors val="0"/>
        <c:ser>
          <c:idx val="1"/>
          <c:order val="0"/>
          <c:spPr>
            <a:noFill/>
            <a:ln w="25400">
              <a:noFill/>
            </a:ln>
          </c:spPr>
          <c:invertIfNegative val="0"/>
          <c:cat>
            <c:strRef>
              <c:f>FootballField!$B$3:$B$7</c:f>
              <c:strCache>
                <c:ptCount val="5"/>
                <c:pt idx="0">
                  <c:v>Discounted Cash Flow Analysis - Standalone</c:v>
                </c:pt>
                <c:pt idx="1">
                  <c:v>Discounted Cash Flow Analysis - Merger Valuation</c:v>
                </c:pt>
                <c:pt idx="2">
                  <c:v>DCF (Standalone) with Exit Multiple</c:v>
                </c:pt>
                <c:pt idx="3">
                  <c:v>DCF (Merger) with Exit Multiple</c:v>
                </c:pt>
                <c:pt idx="4">
                  <c:v>Comparable Companies</c:v>
                </c:pt>
              </c:strCache>
            </c:strRef>
          </c:cat>
          <c:val>
            <c:numRef>
              <c:f>FootballField!$C$3:$C$7</c:f>
              <c:numCache>
                <c:formatCode>"$"#,##0.0_);[Red]\("$"#,##0.0\)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2-4FA9-85DE-D86D0DBAB873}"/>
            </c:ext>
          </c:extLst>
        </c:ser>
        <c:ser>
          <c:idx val="2"/>
          <c:order val="1"/>
          <c:spPr>
            <a:solidFill>
              <a:srgbClr val="DD080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00641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482-4FA9-85DE-D86D0DBAB873}"/>
              </c:ext>
            </c:extLst>
          </c:dPt>
          <c:dPt>
            <c:idx val="3"/>
            <c:invertIfNegative val="0"/>
            <c:bubble3D val="0"/>
            <c:spPr>
              <a:solidFill>
                <a:srgbClr val="00641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482-4FA9-85DE-D86D0DBAB873}"/>
              </c:ext>
            </c:extLst>
          </c:dPt>
          <c:dPt>
            <c:idx val="4"/>
            <c:invertIfNegative val="0"/>
            <c:bubble3D val="0"/>
            <c:spPr>
              <a:solidFill>
                <a:srgbClr val="0000D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482-4FA9-85DE-D86D0DBAB873}"/>
              </c:ext>
            </c:extLst>
          </c:dPt>
          <c:dPt>
            <c:idx val="5"/>
            <c:invertIfNegative val="0"/>
            <c:bubble3D val="0"/>
            <c:spPr>
              <a:solidFill>
                <a:srgbClr val="0000D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482-4FA9-85DE-D86D0DBAB873}"/>
              </c:ext>
            </c:extLst>
          </c:dPt>
          <c:cat>
            <c:strRef>
              <c:f>FootballField!$B$3:$B$7</c:f>
              <c:strCache>
                <c:ptCount val="5"/>
                <c:pt idx="0">
                  <c:v>Discounted Cash Flow Analysis - Standalone</c:v>
                </c:pt>
                <c:pt idx="1">
                  <c:v>Discounted Cash Flow Analysis - Merger Valuation</c:v>
                </c:pt>
                <c:pt idx="2">
                  <c:v>DCF (Standalone) with Exit Multiple</c:v>
                </c:pt>
                <c:pt idx="3">
                  <c:v>DCF (Merger) with Exit Multiple</c:v>
                </c:pt>
                <c:pt idx="4">
                  <c:v>Comparable Companies</c:v>
                </c:pt>
              </c:strCache>
            </c:strRef>
          </c:cat>
          <c:val>
            <c:numRef>
              <c:f>FootballField!$D$3:$D$7</c:f>
              <c:numCache>
                <c:formatCode>"$"#,##0.0_);[Red]\("$"#,##0.0\)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82-4FA9-85DE-D86D0DBAB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395620304"/>
        <c:axId val="-1395627376"/>
        <c:axId val="0"/>
      </c:bar3DChart>
      <c:catAx>
        <c:axId val="-1395620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9562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39562737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&quot;$&quot;#,##0.0_);[Red]\(&quot;$&quot;#,##0.0\)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95620304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1317171</xdr:colOff>
      <xdr:row>8</xdr:row>
      <xdr:rowOff>54429</xdr:rowOff>
    </xdr:from>
    <xdr:to>
      <xdr:col>11</xdr:col>
      <xdr:colOff>21771</xdr:colOff>
      <xdr:row>29</xdr:row>
      <xdr:rowOff>10886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ipelines\West%20Coast%20Pipeline\1%20westpipe%2010-27%20arrange%20by%20est%20close%20d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ofasecurities.com/Silverstein/Companies/Vans/vans_ann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plotts\Documents%20and%20Settings\Julia%20Gardner\Local%20Settings\Temporary%20Internet%20Files\OLK4\JuliaWAC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a%20Gardner\Local%20Settings\Temporary%20Internet%20Files\OLK4\JuliaWAC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%20in%20Progress\Ind%20-%20Food%20&amp;%20Beverage\harris\Detailed%20Descriptions%20A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plotts\Documents%20and%20Settings\plotts\My%20Documents\FBE529Summer2007\Topic3Valuation\XXXDCFKe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a%20Gardner\My%20Documents\FBE%20421\Fall2002\Assignments\NikeWAC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lotts\My%20Documents\FBE529Summer2007\Topic3Valuation\XXXDCFKe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%20in%20Progress\tulip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plotts\Documents%20and%20Settings\Julia%20Gardner\My%20Documents\BAS\Departure2\Models\Models\Training%20Models\crr.dcf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a%20Gardner\My%20Documents\BAS\Departure2\Models\Models\Training%20Models\crr.dcf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ulia%20Gardner\My%20Documents\FBE%20421\Fall2002\Class%20Handouts\Handout5-13\10.16.reviewke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f-user-9\CF%20Shared\Restaurant%20Folder\FOOD&amp;BEV%20COMP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westpipe 10-27 arrange by est"/>
      <sheetName val="Exhange Ratio"/>
      <sheetName val="Entr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DR"/>
      <sheetName val="Rev"/>
      <sheetName val="IS"/>
      <sheetName val="Store-Footage"/>
      <sheetName val="BS"/>
      <sheetName val="CF"/>
      <sheetName val="Tables"/>
      <sheetName val="EPS sensitivity"/>
      <sheetName val="Intl"/>
      <sheetName val="Ownership"/>
      <sheetName val="second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Comp Inputs"/>
      <sheetName val="Trading Multiples"/>
      <sheetName val="Financial Info."/>
      <sheetName val="Margins &amp; Growth"/>
      <sheetName val="Trading &amp; Other"/>
      <sheetName val="WACC"/>
      <sheetName val="Description"/>
    </sheetNames>
    <sheetDataSet>
      <sheetData sheetId="0"/>
      <sheetData sheetId="1">
        <row r="2">
          <cell r="E2">
            <v>37500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Comp Inputs"/>
      <sheetName val="Trading Multiples"/>
      <sheetName val="Financial Info."/>
      <sheetName val="Margins &amp; Growth"/>
      <sheetName val="Trading &amp; Other"/>
      <sheetName val="WACC"/>
      <sheetName val="Description"/>
    </sheetNames>
    <sheetDataSet>
      <sheetData sheetId="0"/>
      <sheetData sheetId="1">
        <row r="2">
          <cell r="E2">
            <v>37500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Input"/>
      <sheetName val="Output (New)"/>
      <sheetName val="Chart 1"/>
      <sheetName val="Overview"/>
      <sheetName val="Ownership"/>
      <sheetName val="]]Trading Stats"/>
      <sheetName val="]]Rationale"/>
      <sheetName val="]]Prism Data"/>
    </sheetNames>
    <sheetDataSet>
      <sheetData sheetId="0"/>
      <sheetData sheetId="1">
        <row r="4">
          <cell r="H4" t="str">
            <v>ABR</v>
          </cell>
        </row>
      </sheetData>
      <sheetData sheetId="2"/>
      <sheetData sheetId="3"/>
      <sheetData sheetId="4"/>
      <sheetData sheetId="5">
        <row r="58">
          <cell r="C58" t="str">
            <v>ABR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S"/>
      <sheetName val="BS"/>
      <sheetName val="Breakout"/>
      <sheetName val="WACC"/>
      <sheetName val="WACC (2)"/>
      <sheetName val="NDFCF"/>
      <sheetName val="DCFTV"/>
      <sheetName val="DCFMult1"/>
      <sheetName val="DCFMult2"/>
      <sheetName val="Sum"/>
      <sheetName val="Valu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WACC (1)"/>
      <sheetName val="WACC (2)"/>
      <sheetName val="Breakout"/>
      <sheetName val="Leases"/>
      <sheetName val="BS"/>
      <sheetName val="IS"/>
      <sheetName val="Comps"/>
      <sheetName val="FactSe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S"/>
      <sheetName val="BS"/>
      <sheetName val="Breakout"/>
      <sheetName val="WACC"/>
      <sheetName val="WACC (2)"/>
      <sheetName val="NDFCF"/>
      <sheetName val="DCFTV"/>
      <sheetName val="DCFMult1"/>
      <sheetName val="DCFMult2"/>
      <sheetName val="Sum"/>
      <sheetName val="Valu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ntry"/>
      <sheetName val="Dollars"/>
      <sheetName val="% Rev"/>
      <sheetName val="Financial"/>
      <sheetName val="Equity"/>
      <sheetName val="Equity (2)"/>
      <sheetName val="Credit"/>
      <sheetName val="Beta"/>
      <sheetName val="Chart 1"/>
      <sheetName val="Chart 2"/>
      <sheetName val="LTM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A10">
            <v>0</v>
          </cell>
        </row>
        <row r="50">
          <cell r="E50" t="e">
            <v>#VALUE!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  <sheetName val="Synergy DCF"/>
      <sheetName val="WACC"/>
      <sheetName val="Equity"/>
      <sheetName val="Credit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  <sheetName val="Synergy DCF"/>
      <sheetName val="WACC"/>
      <sheetName val="Equity"/>
      <sheetName val="Credit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KeyComp1"/>
      <sheetName val="KeyComp2"/>
      <sheetName val="Master Input"/>
      <sheetName val="Financials"/>
      <sheetName val="Multiples"/>
      <sheetName val="Financials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OD&amp;BEV COMPS"/>
      <sheetName val="FOOD&amp;BEV COMPS.xls"/>
    </sheetNames>
    <definedNames>
      <definedName name="Printsheet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showGridLines="0" zoomScale="75" zoomScaleNormal="75" zoomScaleSheetLayoutView="75" zoomScalePageLayoutView="75" workbookViewId="0">
      <selection activeCell="X41" sqref="X41"/>
    </sheetView>
  </sheetViews>
  <sheetFormatPr defaultColWidth="8" defaultRowHeight="12.9" outlineLevelRow="1" x14ac:dyDescent="0.5"/>
  <cols>
    <col min="1" max="1" width="1.71875" style="1" customWidth="1"/>
    <col min="2" max="2" width="18.1640625" style="1" customWidth="1"/>
    <col min="3" max="3" width="12.44140625" style="1" customWidth="1"/>
    <col min="4" max="4" width="13.44140625" style="1" customWidth="1"/>
    <col min="5" max="5" width="9.44140625" style="1" bestFit="1" customWidth="1"/>
    <col min="6" max="6" width="9.1640625" style="1" bestFit="1" customWidth="1"/>
    <col min="7" max="7" width="2.83203125" style="1" customWidth="1"/>
    <col min="8" max="8" width="11.44140625" style="1" customWidth="1"/>
    <col min="9" max="9" width="2.44140625" style="1" customWidth="1"/>
    <col min="10" max="10" width="13.1640625" style="1" bestFit="1" customWidth="1"/>
    <col min="11" max="11" width="2.44140625" style="1" customWidth="1"/>
    <col min="12" max="12" width="9.27734375" style="1" customWidth="1"/>
    <col min="13" max="13" width="2.44140625" style="1" customWidth="1"/>
    <col min="14" max="14" width="7.44140625" style="1" customWidth="1"/>
    <col min="15" max="15" width="2.44140625" style="1" customWidth="1"/>
    <col min="16" max="16" width="7.44140625" style="1" customWidth="1"/>
    <col min="17" max="17" width="2.44140625" style="1" customWidth="1"/>
    <col min="18" max="18" width="7.44140625" style="1" customWidth="1"/>
    <col min="19" max="19" width="2.44140625" style="1" customWidth="1"/>
    <col min="20" max="20" width="7.44140625" style="1" customWidth="1"/>
    <col min="21" max="21" width="2.44140625" style="1" customWidth="1"/>
    <col min="22" max="16384" width="8" style="1"/>
  </cols>
  <sheetData>
    <row r="1" spans="1:22" ht="15.6" x14ac:dyDescent="0.6">
      <c r="A1" s="102"/>
      <c r="B1" s="103" t="s">
        <v>63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2" ht="4.3499999999999996" customHeight="1" thickBot="1" x14ac:dyDescent="0.65">
      <c r="A2" s="104"/>
      <c r="B2" s="105"/>
      <c r="C2" s="106"/>
      <c r="D2" s="106"/>
      <c r="E2" s="106"/>
      <c r="F2" s="106"/>
      <c r="G2" s="106"/>
      <c r="H2" s="106"/>
      <c r="I2" s="106"/>
      <c r="J2" s="106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2" ht="6" customHeight="1" x14ac:dyDescent="0.6">
      <c r="A3" s="104"/>
      <c r="B3" s="104"/>
      <c r="C3" s="104"/>
      <c r="D3" s="104"/>
      <c r="E3" s="104"/>
      <c r="F3" s="104"/>
      <c r="G3" s="104"/>
      <c r="H3" s="104"/>
      <c r="I3" s="104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1:22" ht="15.6" x14ac:dyDescent="0.6">
      <c r="A4" s="104"/>
      <c r="B4" s="104"/>
      <c r="C4" s="104"/>
      <c r="D4" s="104"/>
      <c r="E4" s="104"/>
      <c r="F4" s="104"/>
      <c r="G4" s="104"/>
      <c r="H4" s="18" t="s">
        <v>64</v>
      </c>
      <c r="I4" s="107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1:22" ht="15.6" x14ac:dyDescent="0.6">
      <c r="A5" s="104"/>
      <c r="B5" s="104" t="s">
        <v>93</v>
      </c>
      <c r="C5" s="104"/>
      <c r="D5" s="104"/>
      <c r="E5" s="104"/>
      <c r="F5" s="104"/>
      <c r="G5" s="104"/>
      <c r="H5" s="108"/>
      <c r="I5" s="108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</row>
    <row r="6" spans="1:22" ht="15.6" x14ac:dyDescent="0.6">
      <c r="A6" s="104"/>
      <c r="B6" s="104"/>
      <c r="C6" s="104" t="s">
        <v>65</v>
      </c>
      <c r="D6" s="104"/>
      <c r="E6" s="104"/>
      <c r="F6" s="104"/>
      <c r="G6" s="104"/>
      <c r="H6" s="147">
        <v>0.05</v>
      </c>
      <c r="I6" s="109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</row>
    <row r="7" spans="1:22" ht="15.6" x14ac:dyDescent="0.6">
      <c r="A7" s="104"/>
      <c r="B7" s="104"/>
      <c r="C7" s="104" t="s">
        <v>66</v>
      </c>
      <c r="D7" s="104"/>
      <c r="E7" s="104"/>
      <c r="F7" s="104"/>
      <c r="G7" s="104"/>
      <c r="H7" s="111">
        <v>0.4</v>
      </c>
      <c r="I7" s="110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</row>
    <row r="8" spans="1:22" ht="6" customHeight="1" x14ac:dyDescent="0.6">
      <c r="A8" s="104"/>
      <c r="B8" s="104"/>
      <c r="C8" s="104"/>
      <c r="D8" s="104"/>
      <c r="E8" s="104"/>
      <c r="F8" s="104"/>
      <c r="G8" s="104"/>
      <c r="H8" s="110"/>
      <c r="I8" s="110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</row>
    <row r="9" spans="1:22" ht="15.6" x14ac:dyDescent="0.6">
      <c r="A9" s="104"/>
      <c r="B9" s="104"/>
      <c r="C9" s="104"/>
      <c r="D9" s="104" t="str">
        <f>"Rd =  "&amp;FIXED(H6*100,1)&amp;"% * (1- "&amp;FIXED(H7*100,1)&amp;"%) ="</f>
        <v>Rd =  5.0% * (1- 40.0%) =</v>
      </c>
      <c r="E9" s="104"/>
      <c r="F9" s="104"/>
      <c r="G9" s="104"/>
      <c r="H9" s="111">
        <f>H6*(1-H7)</f>
        <v>0.03</v>
      </c>
      <c r="I9" s="110"/>
      <c r="J9" s="104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1:22" ht="6" customHeight="1" x14ac:dyDescent="0.6">
      <c r="A10" s="104"/>
      <c r="B10" s="104"/>
      <c r="C10" s="104"/>
      <c r="D10" s="104"/>
      <c r="E10" s="104"/>
      <c r="F10" s="104"/>
      <c r="G10" s="104"/>
      <c r="H10" s="110"/>
      <c r="I10" s="110"/>
      <c r="J10" s="104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</row>
    <row r="11" spans="1:22" ht="15.6" x14ac:dyDescent="0.6">
      <c r="A11" s="104"/>
      <c r="B11" s="104" t="s">
        <v>94</v>
      </c>
      <c r="C11" s="104"/>
      <c r="D11" s="104"/>
      <c r="E11" s="104"/>
      <c r="F11" s="104"/>
      <c r="G11" s="104"/>
      <c r="H11" s="110"/>
      <c r="I11" s="110"/>
      <c r="J11" s="104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</row>
    <row r="12" spans="1:22" ht="15.6" x14ac:dyDescent="0.6">
      <c r="A12" s="104"/>
      <c r="B12" s="104"/>
      <c r="C12" s="104" t="s">
        <v>67</v>
      </c>
      <c r="D12" s="104"/>
      <c r="E12" s="104"/>
      <c r="F12" s="104"/>
      <c r="G12" s="104"/>
      <c r="H12" s="147">
        <v>0.04</v>
      </c>
      <c r="I12" s="110"/>
      <c r="J12" s="104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</row>
    <row r="13" spans="1:22" ht="15.6" x14ac:dyDescent="0.6">
      <c r="A13" s="104"/>
      <c r="B13" s="104"/>
      <c r="C13" s="104" t="s">
        <v>68</v>
      </c>
      <c r="D13" s="104"/>
      <c r="E13" s="104"/>
      <c r="F13" s="104"/>
      <c r="G13" s="104"/>
      <c r="H13" s="148">
        <v>1</v>
      </c>
      <c r="I13" s="110"/>
      <c r="J13" s="104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2" ht="15.6" x14ac:dyDescent="0.6">
      <c r="A14" s="104"/>
      <c r="B14" s="104"/>
      <c r="C14" s="104" t="s">
        <v>69</v>
      </c>
      <c r="D14" s="104"/>
      <c r="E14" s="104"/>
      <c r="F14" s="104"/>
      <c r="G14" s="104"/>
      <c r="H14" s="147">
        <v>0.05</v>
      </c>
      <c r="I14" s="110"/>
      <c r="J14" s="104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</row>
    <row r="15" spans="1:22" ht="4.5" customHeight="1" x14ac:dyDescent="0.6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</row>
    <row r="16" spans="1:22" ht="15.6" x14ac:dyDescent="0.6">
      <c r="B16" s="104"/>
      <c r="C16" s="104"/>
      <c r="D16" s="104" t="str">
        <f>+"Re =  "&amp;FIXED(H12*100,1)&amp;"% + "&amp;FIXED(H13*1,2)&amp;" * "&amp;FIXED(H14*100,1)&amp;"% ="</f>
        <v>Re =  4.0% + 1.00 * 5.0% =</v>
      </c>
      <c r="E16" s="104"/>
      <c r="F16" s="104"/>
      <c r="G16" s="104"/>
      <c r="H16" s="112">
        <f>H12+(H13*H14)</f>
        <v>0.09</v>
      </c>
      <c r="I16" s="104"/>
      <c r="J16" s="104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</row>
    <row r="17" spans="2:22" ht="4.5" customHeight="1" x14ac:dyDescent="0.6">
      <c r="B17" s="104"/>
      <c r="C17" s="104"/>
      <c r="D17" s="104"/>
      <c r="E17" s="104"/>
      <c r="F17" s="104"/>
      <c r="G17" s="104"/>
      <c r="H17" s="104"/>
      <c r="I17" s="104"/>
      <c r="J17" s="104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2:22" ht="15.6" x14ac:dyDescent="0.6">
      <c r="B18" s="104" t="s">
        <v>95</v>
      </c>
      <c r="C18" s="104"/>
      <c r="D18" s="104"/>
      <c r="E18" s="104"/>
      <c r="F18" s="104"/>
      <c r="G18" s="104"/>
      <c r="H18" s="104"/>
      <c r="I18" s="104"/>
      <c r="J18" s="104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</row>
    <row r="19" spans="2:22" ht="15.6" x14ac:dyDescent="0.6">
      <c r="B19" s="104"/>
      <c r="C19" s="104" t="s">
        <v>70</v>
      </c>
      <c r="D19" s="104"/>
      <c r="E19" s="104"/>
      <c r="F19" s="104"/>
      <c r="G19" s="104"/>
      <c r="H19" s="112">
        <v>0.15</v>
      </c>
      <c r="I19" s="104"/>
      <c r="J19" s="104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</row>
    <row r="20" spans="2:22" ht="15.6" x14ac:dyDescent="0.6">
      <c r="B20" s="104"/>
      <c r="C20" s="104" t="s">
        <v>71</v>
      </c>
      <c r="D20" s="104"/>
      <c r="E20" s="104"/>
      <c r="F20" s="104"/>
      <c r="G20" s="104"/>
      <c r="H20" s="112">
        <v>0.85</v>
      </c>
      <c r="I20" s="104"/>
      <c r="J20" s="104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</row>
    <row r="21" spans="2:22" ht="6" customHeight="1" x14ac:dyDescent="0.6">
      <c r="B21" s="104"/>
      <c r="C21" s="104"/>
      <c r="D21" s="104"/>
      <c r="E21" s="104"/>
      <c r="F21" s="104"/>
      <c r="G21" s="104"/>
      <c r="H21" s="104"/>
      <c r="I21" s="104"/>
      <c r="J21" s="104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</row>
    <row r="22" spans="2:22" ht="15.6" x14ac:dyDescent="0.6">
      <c r="B22" s="104"/>
      <c r="C22" s="104"/>
      <c r="D22" s="104"/>
      <c r="E22" s="104"/>
      <c r="F22" s="104"/>
      <c r="G22" s="104"/>
      <c r="H22" s="144">
        <f>(H9*H19)+(H16*H20)</f>
        <v>8.1000000000000003E-2</v>
      </c>
      <c r="I22" s="142"/>
      <c r="J22" s="104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</row>
    <row r="23" spans="2:22" ht="6.75" customHeight="1" x14ac:dyDescent="0.6">
      <c r="B23" s="104"/>
      <c r="C23" s="104"/>
      <c r="D23" s="104"/>
      <c r="E23" s="104"/>
      <c r="F23" s="104"/>
      <c r="G23" s="104"/>
      <c r="H23" s="104"/>
      <c r="I23" s="104"/>
      <c r="J23" s="104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</row>
    <row r="24" spans="2:22" ht="15.6" hidden="1" outlineLevel="1" x14ac:dyDescent="0.6">
      <c r="B24" s="113" t="s">
        <v>72</v>
      </c>
      <c r="C24" s="104"/>
      <c r="D24" s="104"/>
      <c r="E24" s="104"/>
      <c r="F24" s="114"/>
      <c r="G24" s="114"/>
      <c r="H24" s="114"/>
      <c r="I24" s="114"/>
      <c r="J24" s="104" t="s">
        <v>73</v>
      </c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</row>
    <row r="25" spans="2:22" ht="15.6" hidden="1" outlineLevel="1" x14ac:dyDescent="0.6">
      <c r="B25" s="115" t="s">
        <v>74</v>
      </c>
      <c r="C25" s="115" t="s">
        <v>75</v>
      </c>
      <c r="D25" s="116" t="s">
        <v>76</v>
      </c>
      <c r="E25" s="115" t="s">
        <v>77</v>
      </c>
      <c r="F25" s="115" t="s">
        <v>78</v>
      </c>
      <c r="G25" s="116" t="s">
        <v>79</v>
      </c>
      <c r="H25" s="117" t="s">
        <v>80</v>
      </c>
      <c r="I25" s="114"/>
      <c r="J25" s="104" t="s">
        <v>71</v>
      </c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</row>
    <row r="26" spans="2:22" ht="15.6" hidden="1" outlineLevel="1" x14ac:dyDescent="0.6">
      <c r="B26" s="104" t="s">
        <v>81</v>
      </c>
      <c r="C26" s="118"/>
      <c r="D26" s="118"/>
      <c r="E26" s="119" t="e">
        <f>#REF!/J26</f>
        <v>#REF!</v>
      </c>
      <c r="F26" s="120"/>
      <c r="G26" s="121"/>
      <c r="H26" s="122" t="e">
        <f t="shared" ref="H26:H32" si="0">F26/(1+(E26)*(1-G26))</f>
        <v>#REF!</v>
      </c>
      <c r="I26" s="123"/>
      <c r="J26" s="119" t="e">
        <f>1-#REF!</f>
        <v>#REF!</v>
      </c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</row>
    <row r="27" spans="2:22" ht="15.6" hidden="1" outlineLevel="1" x14ac:dyDescent="0.6">
      <c r="B27" s="104" t="s">
        <v>82</v>
      </c>
      <c r="C27" s="118"/>
      <c r="D27" s="118"/>
      <c r="E27" s="119" t="e">
        <f>#REF!/J27</f>
        <v>#REF!</v>
      </c>
      <c r="F27" s="120"/>
      <c r="G27" s="121"/>
      <c r="H27" s="122" t="e">
        <f t="shared" si="0"/>
        <v>#REF!</v>
      </c>
      <c r="I27" s="114"/>
      <c r="J27" s="119" t="e">
        <f>1-#REF!</f>
        <v>#REF!</v>
      </c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</row>
    <row r="28" spans="2:22" ht="15.6" hidden="1" outlineLevel="1" x14ac:dyDescent="0.6">
      <c r="B28" s="110" t="s">
        <v>83</v>
      </c>
      <c r="C28" s="118"/>
      <c r="D28" s="118"/>
      <c r="E28" s="109" t="e">
        <f>#REF!/J28</f>
        <v>#REF!</v>
      </c>
      <c r="F28" s="120"/>
      <c r="G28" s="121"/>
      <c r="H28" s="122" t="e">
        <f t="shared" si="0"/>
        <v>#REF!</v>
      </c>
      <c r="I28" s="114"/>
      <c r="J28" s="109" t="e">
        <f>1-#REF!</f>
        <v>#REF!</v>
      </c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</row>
    <row r="29" spans="2:22" ht="15.6" hidden="1" outlineLevel="1" x14ac:dyDescent="0.6">
      <c r="B29" s="110" t="s">
        <v>84</v>
      </c>
      <c r="C29" s="118"/>
      <c r="D29" s="118"/>
      <c r="E29" s="109" t="e">
        <f>#REF!/J29</f>
        <v>#REF!</v>
      </c>
      <c r="F29" s="120"/>
      <c r="G29" s="121"/>
      <c r="H29" s="122" t="e">
        <f t="shared" si="0"/>
        <v>#REF!</v>
      </c>
      <c r="I29" s="114"/>
      <c r="J29" s="109" t="e">
        <f>1-#REF!</f>
        <v>#REF!</v>
      </c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</row>
    <row r="30" spans="2:22" ht="15.6" hidden="1" outlineLevel="1" x14ac:dyDescent="0.6">
      <c r="B30" s="110" t="s">
        <v>85</v>
      </c>
      <c r="C30" s="118"/>
      <c r="D30" s="118"/>
      <c r="E30" s="109" t="e">
        <f>#REF!/J30</f>
        <v>#REF!</v>
      </c>
      <c r="F30" s="120"/>
      <c r="G30" s="121"/>
      <c r="H30" s="122" t="e">
        <f t="shared" si="0"/>
        <v>#REF!</v>
      </c>
      <c r="I30" s="114"/>
      <c r="J30" s="109" t="e">
        <f>1-#REF!</f>
        <v>#REF!</v>
      </c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</row>
    <row r="31" spans="2:22" ht="15.6" hidden="1" outlineLevel="1" x14ac:dyDescent="0.6">
      <c r="B31" s="110" t="s">
        <v>86</v>
      </c>
      <c r="C31" s="118"/>
      <c r="D31" s="118"/>
      <c r="E31" s="109" t="e">
        <f>#REF!/J31</f>
        <v>#REF!</v>
      </c>
      <c r="F31" s="120"/>
      <c r="G31" s="121"/>
      <c r="H31" s="122" t="e">
        <f t="shared" si="0"/>
        <v>#REF!</v>
      </c>
      <c r="I31" s="114"/>
      <c r="J31" s="109" t="e">
        <f>1-#REF!</f>
        <v>#REF!</v>
      </c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</row>
    <row r="32" spans="2:22" ht="15.6" hidden="1" outlineLevel="1" x14ac:dyDescent="0.6">
      <c r="B32" s="104" t="s">
        <v>87</v>
      </c>
      <c r="C32" s="118"/>
      <c r="D32" s="118"/>
      <c r="E32" s="119" t="e">
        <f>#REF!/J32</f>
        <v>#REF!</v>
      </c>
      <c r="F32" s="120"/>
      <c r="G32" s="121"/>
      <c r="H32" s="122" t="e">
        <f t="shared" si="0"/>
        <v>#REF!</v>
      </c>
      <c r="I32" s="114"/>
      <c r="J32" s="119" t="e">
        <f>1-#REF!</f>
        <v>#REF!</v>
      </c>
    </row>
    <row r="33" spans="2:10" ht="6" hidden="1" customHeight="1" outlineLevel="1" x14ac:dyDescent="0.6">
      <c r="B33" s="104"/>
      <c r="C33" s="124"/>
      <c r="D33" s="124"/>
      <c r="E33" s="119"/>
      <c r="F33" s="114"/>
      <c r="G33" s="125"/>
      <c r="H33" s="122"/>
      <c r="I33" s="114"/>
      <c r="J33" s="104"/>
    </row>
    <row r="34" spans="2:10" ht="15.6" hidden="1" outlineLevel="1" x14ac:dyDescent="0.6">
      <c r="B34" s="104" t="s">
        <v>88</v>
      </c>
      <c r="C34" s="104"/>
      <c r="D34" s="126"/>
      <c r="E34" s="119" t="e">
        <f>MEDIAN(E26:E32)</f>
        <v>#REF!</v>
      </c>
      <c r="F34" s="122" t="e">
        <f>MEDIAN(F26:F32)</f>
        <v>#NUM!</v>
      </c>
      <c r="G34" s="119"/>
      <c r="H34" s="122" t="e">
        <f>MEDIAN(H26:H32)</f>
        <v>#REF!</v>
      </c>
      <c r="I34" s="127"/>
      <c r="J34" s="127" t="e">
        <f>MEDIAN(J26:J32)</f>
        <v>#REF!</v>
      </c>
    </row>
    <row r="35" spans="2:10" ht="15.6" hidden="1" outlineLevel="1" x14ac:dyDescent="0.6">
      <c r="B35" s="128" t="s">
        <v>89</v>
      </c>
      <c r="C35" s="129"/>
      <c r="D35" s="130"/>
      <c r="E35" s="131" t="e">
        <f>AVERAGE(E26:E32)</f>
        <v>#REF!</v>
      </c>
      <c r="F35" s="132" t="e">
        <f>AVERAGE(F26:F32)</f>
        <v>#DIV/0!</v>
      </c>
      <c r="G35" s="131"/>
      <c r="H35" s="132" t="e">
        <f>AVERAGE(H26:H32)</f>
        <v>#REF!</v>
      </c>
      <c r="I35" s="133"/>
      <c r="J35" s="134" t="e">
        <f>AVERAGE(J26:J32)</f>
        <v>#REF!</v>
      </c>
    </row>
    <row r="36" spans="2:10" ht="15.6" hidden="1" outlineLevel="1" x14ac:dyDescent="0.6">
      <c r="B36" s="104"/>
      <c r="C36" s="104"/>
      <c r="D36" s="126"/>
      <c r="E36" s="104"/>
      <c r="F36" s="114"/>
      <c r="G36" s="114"/>
      <c r="H36" s="122"/>
      <c r="I36" s="114"/>
      <c r="J36" s="104"/>
    </row>
    <row r="37" spans="2:10" ht="15.6" hidden="1" outlineLevel="1" x14ac:dyDescent="0.6">
      <c r="B37" s="135"/>
      <c r="C37" s="104"/>
      <c r="D37" s="136"/>
      <c r="E37" s="104"/>
      <c r="F37" s="114"/>
      <c r="G37" s="114"/>
      <c r="H37" s="137"/>
      <c r="I37" s="114"/>
      <c r="J37" s="104"/>
    </row>
    <row r="38" spans="2:10" ht="15.6" hidden="1" outlineLevel="1" x14ac:dyDescent="0.6">
      <c r="B38" s="114"/>
      <c r="C38" s="135" t="str">
        <f>C25</f>
        <v>total debt</v>
      </c>
      <c r="D38" s="135" t="str">
        <f>D25</f>
        <v>total equity</v>
      </c>
      <c r="E38" s="135" t="str">
        <f>E25</f>
        <v>D/E</v>
      </c>
      <c r="F38" s="135"/>
      <c r="G38" s="135" t="str">
        <f>G25</f>
        <v>tax rate</v>
      </c>
      <c r="H38" s="138" t="s">
        <v>90</v>
      </c>
      <c r="I38" s="114"/>
      <c r="J38" s="104"/>
    </row>
    <row r="39" spans="2:10" ht="15.6" hidden="1" outlineLevel="1" x14ac:dyDescent="0.6">
      <c r="B39" s="135" t="s">
        <v>91</v>
      </c>
      <c r="C39" s="139"/>
      <c r="D39" s="139"/>
      <c r="E39" s="126" t="e">
        <f>E35</f>
        <v>#REF!</v>
      </c>
      <c r="F39" s="114"/>
      <c r="G39" s="140">
        <v>0.3</v>
      </c>
      <c r="H39" s="141" t="e">
        <f>H35*(1+E39*(1-G39))</f>
        <v>#REF!</v>
      </c>
      <c r="I39" s="114"/>
      <c r="J39" s="104"/>
    </row>
    <row r="40" spans="2:10" ht="15.6" hidden="1" outlineLevel="1" x14ac:dyDescent="0.6">
      <c r="B40" s="114" t="s">
        <v>92</v>
      </c>
      <c r="C40" s="118"/>
      <c r="D40" s="118"/>
      <c r="E40" s="126">
        <v>0</v>
      </c>
      <c r="F40" s="114"/>
      <c r="G40" s="140">
        <v>0.3</v>
      </c>
      <c r="H40" s="141" t="e">
        <f>H35*(1+E40*(1-G40))</f>
        <v>#REF!</v>
      </c>
      <c r="I40" s="114"/>
      <c r="J40" s="104"/>
    </row>
    <row r="41" spans="2:10" ht="15.6" collapsed="1" x14ac:dyDescent="0.6">
      <c r="B41" s="104"/>
      <c r="C41" s="104"/>
      <c r="D41" s="104"/>
      <c r="E41" s="104"/>
      <c r="F41" s="104"/>
      <c r="G41" s="104"/>
      <c r="H41" s="104"/>
      <c r="I41" s="104"/>
      <c r="J41" s="104"/>
    </row>
    <row r="42" spans="2:10" ht="15.6" x14ac:dyDescent="0.6">
      <c r="B42" s="104"/>
      <c r="C42" s="104"/>
      <c r="D42" s="104"/>
      <c r="E42" s="104"/>
      <c r="F42" s="104"/>
      <c r="G42" s="104"/>
      <c r="H42" s="104"/>
      <c r="I42" s="104"/>
      <c r="J42" s="104"/>
    </row>
  </sheetData>
  <pageMargins left="0.25" right="0.25" top="0.5" bottom="0.25" header="0.5" footer="0.5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7"/>
  <sheetViews>
    <sheetView showGridLines="0" tabSelected="1" zoomScale="85" zoomScaleNormal="85" workbookViewId="0">
      <selection activeCell="AI21" sqref="AI21"/>
    </sheetView>
  </sheetViews>
  <sheetFormatPr defaultColWidth="9.1640625" defaultRowHeight="13" customHeight="1" outlineLevelRow="1" outlineLevelCol="1" x14ac:dyDescent="0.55000000000000004"/>
  <cols>
    <col min="1" max="1" width="2.44140625" style="2" customWidth="1"/>
    <col min="2" max="2" width="1.71875" style="2" customWidth="1"/>
    <col min="3" max="3" width="10.44140625" style="2" bestFit="1" customWidth="1"/>
    <col min="4" max="4" width="10.83203125" style="2" bestFit="1" customWidth="1"/>
    <col min="5" max="5" width="11.44140625" style="2" customWidth="1"/>
    <col min="6" max="8" width="12" style="2" hidden="1" customWidth="1" outlineLevel="1"/>
    <col min="9" max="9" width="12" style="2" customWidth="1" collapsed="1"/>
    <col min="10" max="16" width="12" style="2" customWidth="1"/>
    <col min="17" max="17" width="2.71875" style="2" customWidth="1"/>
    <col min="18" max="18" width="12.5546875" style="2" bestFit="1" customWidth="1"/>
    <col min="19" max="19" width="9.1640625" style="2"/>
    <col min="20" max="20" width="14.71875" style="2" customWidth="1"/>
    <col min="21" max="21" width="2.1640625" style="2" customWidth="1"/>
    <col min="22" max="22" width="16.1640625" style="2" bestFit="1" customWidth="1"/>
    <col min="23" max="23" width="2.1640625" style="2" bestFit="1" customWidth="1"/>
    <col min="24" max="26" width="13.5546875" style="2" customWidth="1"/>
    <col min="27" max="27" width="2.1640625" style="2" bestFit="1" customWidth="1"/>
    <col min="28" max="30" width="13.5546875" style="2" customWidth="1"/>
    <col min="31" max="16384" width="9.1640625" style="2"/>
  </cols>
  <sheetData>
    <row r="1" spans="1:31" s="7" customFormat="1" ht="18.3" thickBot="1" x14ac:dyDescent="0.7">
      <c r="A1" s="4" t="str">
        <f>"Discounted Cash Flow Analysis for "&amp;Name</f>
        <v>Discounted Cash Flow Analysis for ABC Inc.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T1" s="4" t="str">
        <f>"DCF Sensitivity Analysis for "&amp;Name</f>
        <v>DCF Sensitivity Analysis for ABC Inc.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4.4" x14ac:dyDescent="0.55000000000000004">
      <c r="A2" s="8" t="str">
        <f>Subheader</f>
        <v>Dollars in millions, except per share</v>
      </c>
      <c r="B2" s="8"/>
      <c r="C2" s="9"/>
      <c r="D2" s="10"/>
      <c r="E2" s="10"/>
      <c r="F2" s="10"/>
      <c r="G2" s="10"/>
      <c r="H2" s="10"/>
      <c r="I2" s="10"/>
      <c r="J2" s="10"/>
      <c r="K2" s="10"/>
      <c r="L2" s="9"/>
      <c r="M2" s="9"/>
      <c r="N2" s="9"/>
      <c r="O2" s="9"/>
      <c r="P2" s="9"/>
      <c r="Q2" s="10"/>
      <c r="R2" s="10"/>
      <c r="T2" s="8" t="str">
        <f>A2</f>
        <v>Dollars in millions, except per share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14.4" x14ac:dyDescent="0.55000000000000004">
      <c r="A3" s="3"/>
      <c r="B3" s="3"/>
      <c r="D3" s="11"/>
      <c r="E3" s="11"/>
      <c r="F3" s="11"/>
      <c r="G3" s="11"/>
      <c r="H3" s="11"/>
      <c r="I3" s="11"/>
      <c r="J3" s="11"/>
      <c r="K3" s="11"/>
      <c r="Q3" s="11"/>
      <c r="R3" s="11"/>
      <c r="T3" s="12"/>
      <c r="U3" s="13"/>
      <c r="V3" s="13"/>
      <c r="W3" s="13"/>
      <c r="X3" s="13"/>
      <c r="Y3" s="13"/>
      <c r="Z3" s="13"/>
      <c r="AA3" s="13"/>
      <c r="AB3" s="13"/>
      <c r="AC3" s="13"/>
      <c r="AD3" s="14"/>
    </row>
    <row r="4" spans="1:31" ht="14.4" x14ac:dyDescent="0.55000000000000004">
      <c r="F4" s="15" t="e">
        <f>'DCF Assumptions'!#REF!</f>
        <v>#REF!</v>
      </c>
      <c r="G4" s="16"/>
      <c r="H4" s="16"/>
      <c r="I4" s="17" t="s">
        <v>105</v>
      </c>
      <c r="J4" s="18"/>
      <c r="K4" s="18"/>
      <c r="L4" s="18"/>
      <c r="M4" s="21"/>
      <c r="N4" s="21"/>
      <c r="O4" s="21"/>
      <c r="P4" s="21"/>
      <c r="R4" s="19"/>
      <c r="T4" s="20"/>
      <c r="V4" s="21" t="s">
        <v>1</v>
      </c>
      <c r="W4" s="22" t="s">
        <v>2</v>
      </c>
      <c r="X4" s="21" t="s">
        <v>3</v>
      </c>
      <c r="Y4" s="23"/>
      <c r="Z4" s="23"/>
      <c r="AA4" s="2" t="s">
        <v>4</v>
      </c>
      <c r="AB4" s="21" t="s">
        <v>5</v>
      </c>
      <c r="AC4" s="23"/>
      <c r="AD4" s="24"/>
    </row>
    <row r="5" spans="1:31" ht="14.4" x14ac:dyDescent="0.55000000000000004">
      <c r="F5" s="100" t="e">
        <f>'DCF Assumptions'!#REF!</f>
        <v>#REF!</v>
      </c>
      <c r="G5" s="100" t="e">
        <f>'DCF Assumptions'!#REF!</f>
        <v>#REF!</v>
      </c>
      <c r="H5" s="100" t="e">
        <f>'DCF Assumptions'!#REF!</f>
        <v>#REF!</v>
      </c>
      <c r="I5" s="100">
        <v>2020</v>
      </c>
      <c r="J5" s="100">
        <v>2021</v>
      </c>
      <c r="K5" s="100">
        <v>2022</v>
      </c>
      <c r="L5" s="100">
        <v>2023</v>
      </c>
      <c r="M5" s="100">
        <v>2024</v>
      </c>
      <c r="N5" s="100">
        <v>2025</v>
      </c>
      <c r="O5" s="100">
        <v>2026</v>
      </c>
      <c r="P5" s="100">
        <v>2027</v>
      </c>
      <c r="R5" s="22"/>
      <c r="T5" s="20"/>
      <c r="V5" s="25" t="s">
        <v>6</v>
      </c>
      <c r="X5" s="26" t="s">
        <v>7</v>
      </c>
      <c r="Y5" s="26"/>
      <c r="Z5" s="26"/>
      <c r="AB5" s="26" t="s">
        <v>8</v>
      </c>
      <c r="AC5" s="27"/>
      <c r="AD5" s="28"/>
    </row>
    <row r="6" spans="1:31" ht="14.4" x14ac:dyDescent="0.55000000000000004">
      <c r="A6" s="30" t="s">
        <v>26</v>
      </c>
      <c r="B6" s="30"/>
      <c r="C6" s="30"/>
      <c r="F6" s="45" t="e">
        <f>SUM(#REF!)</f>
        <v>#REF!</v>
      </c>
      <c r="G6" s="45" t="e">
        <f>SUM(#REF!)</f>
        <v>#REF!</v>
      </c>
      <c r="H6" s="45" t="e">
        <f>SUM(#REF!)</f>
        <v>#REF!</v>
      </c>
      <c r="I6" s="159">
        <v>100000</v>
      </c>
      <c r="J6" s="159">
        <f>I6*1.1</f>
        <v>110000.00000000001</v>
      </c>
      <c r="K6" s="159">
        <f t="shared" ref="K6:O6" si="0">J6*1.1</f>
        <v>121000.00000000003</v>
      </c>
      <c r="L6" s="159">
        <f t="shared" si="0"/>
        <v>133100.00000000003</v>
      </c>
      <c r="M6" s="159">
        <f t="shared" si="0"/>
        <v>146410.00000000006</v>
      </c>
      <c r="N6" s="159">
        <f t="shared" si="0"/>
        <v>161051.00000000009</v>
      </c>
      <c r="O6" s="159">
        <f t="shared" si="0"/>
        <v>177156.10000000012</v>
      </c>
      <c r="P6" s="159">
        <f>N6*1.1</f>
        <v>177156.10000000012</v>
      </c>
      <c r="R6" s="31"/>
      <c r="T6" s="32" t="s">
        <v>9</v>
      </c>
      <c r="V6" s="33" t="s">
        <v>104</v>
      </c>
      <c r="X6" s="34">
        <f>Y6-1</f>
        <v>9</v>
      </c>
      <c r="Y6" s="34">
        <f>J21</f>
        <v>10</v>
      </c>
      <c r="Z6" s="34">
        <f>Y6+1</f>
        <v>11</v>
      </c>
      <c r="AB6" s="34">
        <f>AC6-1</f>
        <v>9</v>
      </c>
      <c r="AC6" s="34">
        <f>multiple</f>
        <v>10</v>
      </c>
      <c r="AD6" s="35">
        <f>AC6+1</f>
        <v>11</v>
      </c>
    </row>
    <row r="7" spans="1:31" ht="14.4" x14ac:dyDescent="0.55000000000000004">
      <c r="A7" s="30" t="str">
        <f>"Less: Taxes @ "&amp;ROUND(tax*100,1)&amp;"%"</f>
        <v>Less: Taxes @ 21%</v>
      </c>
      <c r="B7" s="30"/>
      <c r="C7" s="30"/>
      <c r="D7" s="46"/>
      <c r="F7" s="37" t="e">
        <f>F6*-tax</f>
        <v>#REF!</v>
      </c>
      <c r="G7" s="37" t="e">
        <f t="shared" ref="G7:L7" si="1">G6*-tax</f>
        <v>#REF!</v>
      </c>
      <c r="H7" s="37" t="e">
        <f t="shared" si="1"/>
        <v>#REF!</v>
      </c>
      <c r="I7" s="37">
        <f>I6*-tax</f>
        <v>-21000</v>
      </c>
      <c r="J7" s="37">
        <f t="shared" si="1"/>
        <v>-23100.000000000004</v>
      </c>
      <c r="K7" s="37">
        <f t="shared" si="1"/>
        <v>-25410.000000000004</v>
      </c>
      <c r="L7" s="37">
        <f t="shared" si="1"/>
        <v>-27951.000000000004</v>
      </c>
      <c r="M7" s="37">
        <f t="shared" ref="M7:P7" si="2">M6*-tax</f>
        <v>-30746.100000000009</v>
      </c>
      <c r="N7" s="37">
        <f t="shared" si="2"/>
        <v>-33820.710000000014</v>
      </c>
      <c r="O7" s="37">
        <f t="shared" ref="O7" si="3">O6*-tax</f>
        <v>-37202.781000000025</v>
      </c>
      <c r="P7" s="37">
        <f t="shared" si="2"/>
        <v>-37202.781000000025</v>
      </c>
      <c r="R7" s="31"/>
      <c r="T7" s="39">
        <f>T8-0.005</f>
        <v>7.0999999999999994E-2</v>
      </c>
      <c r="V7" s="145">
        <f>NPV(T7,I$15:P$15)</f>
        <v>544613.550016416</v>
      </c>
      <c r="W7" s="40"/>
      <c r="X7" s="40">
        <f>($J$22*$X$6)/(1+T7)^8</f>
        <v>1025030.9091275523</v>
      </c>
      <c r="Y7" s="40">
        <f>($J$22*$Y$6)/(1+T7)^8</f>
        <v>1138923.232363947</v>
      </c>
      <c r="Z7" s="40">
        <f>($J$22*$Z$6)/(1+T7)^8</f>
        <v>1252815.5556003419</v>
      </c>
      <c r="AB7" s="40">
        <f t="shared" ref="AB7:AD11" si="4">$V7+X7</f>
        <v>1569644.4591439683</v>
      </c>
      <c r="AC7" s="167">
        <f t="shared" si="4"/>
        <v>1683536.782380363</v>
      </c>
      <c r="AD7" s="41">
        <f t="shared" si="4"/>
        <v>1797429.1056167579</v>
      </c>
    </row>
    <row r="8" spans="1:31" ht="14.4" x14ac:dyDescent="0.55000000000000004">
      <c r="A8" s="30" t="s">
        <v>10</v>
      </c>
      <c r="B8" s="30"/>
      <c r="C8" s="30"/>
      <c r="F8" s="45" t="e">
        <f t="shared" ref="F8:L8" si="5">SUM(F6:F7)</f>
        <v>#REF!</v>
      </c>
      <c r="G8" s="45" t="e">
        <f t="shared" si="5"/>
        <v>#REF!</v>
      </c>
      <c r="H8" s="45" t="e">
        <f t="shared" si="5"/>
        <v>#REF!</v>
      </c>
      <c r="I8" s="45">
        <f t="shared" si="5"/>
        <v>79000</v>
      </c>
      <c r="J8" s="45">
        <f t="shared" si="5"/>
        <v>86900.000000000015</v>
      </c>
      <c r="K8" s="45">
        <f t="shared" si="5"/>
        <v>95590.000000000029</v>
      </c>
      <c r="L8" s="45">
        <f t="shared" si="5"/>
        <v>105149.00000000003</v>
      </c>
      <c r="M8" s="45">
        <f t="shared" ref="M8:P8" si="6">SUM(M6:M7)</f>
        <v>115663.90000000005</v>
      </c>
      <c r="N8" s="45">
        <f t="shared" si="6"/>
        <v>127230.29000000007</v>
      </c>
      <c r="O8" s="45">
        <f t="shared" ref="O8" si="7">SUM(O6:O7)</f>
        <v>139953.31900000011</v>
      </c>
      <c r="P8" s="45">
        <f t="shared" si="6"/>
        <v>139953.31900000011</v>
      </c>
      <c r="R8" s="31"/>
      <c r="T8" s="39">
        <f>T9-0.005</f>
        <v>7.5999999999999998E-2</v>
      </c>
      <c r="V8" s="145">
        <f>NPV(T8,I$15:P$15)</f>
        <v>532915.68907692295</v>
      </c>
      <c r="W8" s="42"/>
      <c r="X8" s="40">
        <f t="shared" ref="X8:X11" si="8">($J$22*$X$6)/(1+T8)^8</f>
        <v>987539.68585208186</v>
      </c>
      <c r="Y8" s="40">
        <f t="shared" ref="Y8:Y11" si="9">($J$22*$Y$6)/(1+T8)^8</f>
        <v>1097266.3176134243</v>
      </c>
      <c r="Z8" s="40">
        <f t="shared" ref="Z8:Z11" si="10">($J$22*$Z$6)/(1+T8)^8</f>
        <v>1206992.9493747668</v>
      </c>
      <c r="AB8" s="42">
        <f t="shared" si="4"/>
        <v>1520455.3749290048</v>
      </c>
      <c r="AC8" s="165">
        <f t="shared" si="4"/>
        <v>1630182.0066903471</v>
      </c>
      <c r="AD8" s="43">
        <f t="shared" si="4"/>
        <v>1739908.6384516899</v>
      </c>
    </row>
    <row r="9" spans="1:31" ht="14.4" x14ac:dyDescent="0.55000000000000004"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R9" s="31"/>
      <c r="T9" s="44">
        <f>rate</f>
        <v>8.1000000000000003E-2</v>
      </c>
      <c r="V9" s="145">
        <f>NPV(T9,I$15:P$15)</f>
        <v>521579.08773816645</v>
      </c>
      <c r="W9" s="42"/>
      <c r="X9" s="40">
        <f t="shared" si="8"/>
        <v>951584.09928106761</v>
      </c>
      <c r="Y9" s="40">
        <f t="shared" si="9"/>
        <v>1057315.6658678527</v>
      </c>
      <c r="Z9" s="40">
        <f t="shared" si="10"/>
        <v>1163047.2324546382</v>
      </c>
      <c r="AB9" s="165">
        <f t="shared" si="4"/>
        <v>1473163.1870192341</v>
      </c>
      <c r="AC9" s="165">
        <f t="shared" si="4"/>
        <v>1578894.7536060191</v>
      </c>
      <c r="AD9" s="166">
        <f t="shared" si="4"/>
        <v>1684626.3201928046</v>
      </c>
    </row>
    <row r="10" spans="1:31" ht="14.4" outlineLevel="1" x14ac:dyDescent="0.55000000000000004">
      <c r="A10" s="30" t="s">
        <v>17</v>
      </c>
      <c r="B10" s="30"/>
      <c r="C10" s="30"/>
      <c r="F10" s="37"/>
      <c r="G10" s="37" t="e">
        <f>-#REF!</f>
        <v>#REF!</v>
      </c>
      <c r="H10" s="37" t="e">
        <f>-#REF!</f>
        <v>#REF!</v>
      </c>
      <c r="I10" s="160">
        <v>20000</v>
      </c>
      <c r="J10" s="160">
        <v>20000</v>
      </c>
      <c r="K10" s="160">
        <v>20000</v>
      </c>
      <c r="L10" s="160">
        <v>20000</v>
      </c>
      <c r="M10" s="160">
        <v>20000</v>
      </c>
      <c r="N10" s="160">
        <v>20000</v>
      </c>
      <c r="O10" s="160">
        <v>20000</v>
      </c>
      <c r="P10" s="160">
        <v>20000</v>
      </c>
      <c r="R10" s="31"/>
      <c r="T10" s="39">
        <f>T9+0.005</f>
        <v>8.6000000000000007E-2</v>
      </c>
      <c r="V10" s="145">
        <f>NPV(T10,I$15:P$15)</f>
        <v>510590.12519503111</v>
      </c>
      <c r="W10" s="42"/>
      <c r="X10" s="40">
        <f t="shared" si="8"/>
        <v>917094.57851544011</v>
      </c>
      <c r="Y10" s="40">
        <f t="shared" si="9"/>
        <v>1018993.9761282667</v>
      </c>
      <c r="Z10" s="40">
        <f t="shared" si="10"/>
        <v>1120893.3737410936</v>
      </c>
      <c r="AB10" s="42">
        <f t="shared" si="4"/>
        <v>1427684.7037104713</v>
      </c>
      <c r="AC10" s="165">
        <f t="shared" si="4"/>
        <v>1529584.1013232977</v>
      </c>
      <c r="AD10" s="43">
        <f t="shared" si="4"/>
        <v>1631483.4989361246</v>
      </c>
    </row>
    <row r="11" spans="1:31" ht="14.65" customHeight="1" x14ac:dyDescent="0.55000000000000004">
      <c r="A11" s="30" t="s">
        <v>19</v>
      </c>
      <c r="B11" s="30"/>
      <c r="C11" s="30"/>
      <c r="F11" s="37"/>
      <c r="G11" s="37" t="e">
        <f>-#REF!</f>
        <v>#REF!</v>
      </c>
      <c r="H11" s="37" t="e">
        <f>-#REF!</f>
        <v>#REF!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R11" s="31"/>
      <c r="T11" s="39">
        <f>T10+0.005</f>
        <v>9.1000000000000011E-2</v>
      </c>
      <c r="V11" s="145">
        <f>NPV(T11,I$15:P$15)</f>
        <v>499935.77313514776</v>
      </c>
      <c r="W11" s="42"/>
      <c r="X11" s="40">
        <f t="shared" si="8"/>
        <v>884005.00402347732</v>
      </c>
      <c r="Y11" s="40">
        <f t="shared" si="9"/>
        <v>982227.78224830818</v>
      </c>
      <c r="Z11" s="40">
        <f t="shared" si="10"/>
        <v>1080450.5604731392</v>
      </c>
      <c r="AB11" s="42">
        <f t="shared" si="4"/>
        <v>1383940.777158625</v>
      </c>
      <c r="AC11" s="165">
        <f t="shared" si="4"/>
        <v>1482163.5553834559</v>
      </c>
      <c r="AD11" s="43">
        <f t="shared" si="4"/>
        <v>1580386.3336082869</v>
      </c>
    </row>
    <row r="12" spans="1:31" ht="14.65" customHeight="1" x14ac:dyDescent="0.55000000000000004">
      <c r="A12" s="30" t="s">
        <v>20</v>
      </c>
      <c r="B12" s="30"/>
      <c r="C12" s="30"/>
      <c r="F12" s="37"/>
      <c r="G12" s="37" t="e">
        <f>'DCF Assumptions'!#REF!*'DCF Assumptions'!#REF!</f>
        <v>#REF!</v>
      </c>
      <c r="H12" s="37" t="e">
        <f>'DCF Assumptions'!#REF!*'DCF Assumptions'!#REF!</f>
        <v>#REF!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T12" s="20"/>
      <c r="AD12" s="29"/>
    </row>
    <row r="13" spans="1:31" ht="14.65" customHeight="1" x14ac:dyDescent="0.55000000000000004">
      <c r="A13" s="30" t="s">
        <v>21</v>
      </c>
      <c r="B13" s="30"/>
      <c r="C13" s="30"/>
      <c r="F13" s="37"/>
      <c r="G13" s="37" t="e">
        <f>-'DCF Assumptions'!#REF!</f>
        <v>#REF!</v>
      </c>
      <c r="H13" s="37" t="e">
        <f>-'DCF Assumptions'!#REF!</f>
        <v>#REF!</v>
      </c>
      <c r="I13" s="160">
        <v>-30000</v>
      </c>
      <c r="J13" s="160">
        <f t="shared" ref="J13:O13" si="11">I13</f>
        <v>-30000</v>
      </c>
      <c r="K13" s="160">
        <f t="shared" si="11"/>
        <v>-30000</v>
      </c>
      <c r="L13" s="160">
        <f t="shared" si="11"/>
        <v>-30000</v>
      </c>
      <c r="M13" s="160">
        <f t="shared" si="11"/>
        <v>-30000</v>
      </c>
      <c r="N13" s="160">
        <f t="shared" si="11"/>
        <v>-30000</v>
      </c>
      <c r="O13" s="160">
        <f t="shared" si="11"/>
        <v>-30000</v>
      </c>
      <c r="P13" s="160">
        <f>N13</f>
        <v>-30000</v>
      </c>
      <c r="T13" s="20"/>
      <c r="U13" s="2" t="s">
        <v>11</v>
      </c>
      <c r="V13" s="21" t="s">
        <v>12</v>
      </c>
      <c r="W13" s="22" t="s">
        <v>4</v>
      </c>
      <c r="X13" s="21" t="s">
        <v>13</v>
      </c>
      <c r="Y13" s="23"/>
      <c r="Z13" s="23"/>
      <c r="AB13" s="21" t="s">
        <v>14</v>
      </c>
      <c r="AC13" s="23"/>
      <c r="AD13" s="24"/>
    </row>
    <row r="14" spans="1:31" ht="14.65" customHeight="1" x14ac:dyDescent="0.55000000000000004">
      <c r="A14" s="30" t="s">
        <v>22</v>
      </c>
      <c r="B14" s="30"/>
      <c r="C14" s="30"/>
      <c r="F14" s="37"/>
      <c r="G14" s="51" t="e">
        <f>-(#REF!-#REF!)*'DCF Assumptions'!#REF!</f>
        <v>#REF!</v>
      </c>
      <c r="H14" s="51" t="e">
        <f>-(#REF!-#REF!)*'DCF Assumptions'!#REF!</f>
        <v>#REF!</v>
      </c>
      <c r="I14" s="164">
        <v>-6365</v>
      </c>
      <c r="J14" s="164">
        <v>-5941</v>
      </c>
      <c r="K14" s="164">
        <v>-5198</v>
      </c>
      <c r="L14" s="164">
        <v>-6497</v>
      </c>
      <c r="M14" s="164">
        <v>-6497</v>
      </c>
      <c r="N14" s="164">
        <v>-6497</v>
      </c>
      <c r="O14" s="164">
        <v>-6497</v>
      </c>
      <c r="P14" s="164">
        <v>-6497</v>
      </c>
      <c r="T14" s="20"/>
      <c r="V14" s="25"/>
      <c r="X14" s="26" t="s">
        <v>15</v>
      </c>
      <c r="Y14" s="26"/>
      <c r="Z14" s="26"/>
      <c r="AB14" s="26" t="s">
        <v>16</v>
      </c>
      <c r="AC14" s="27"/>
      <c r="AD14" s="28"/>
    </row>
    <row r="15" spans="1:31" ht="14.65" customHeight="1" x14ac:dyDescent="0.55000000000000004">
      <c r="A15" s="52" t="s">
        <v>23</v>
      </c>
      <c r="B15" s="52"/>
      <c r="C15" s="52"/>
      <c r="D15" s="11"/>
      <c r="E15" s="11"/>
      <c r="F15" s="53"/>
      <c r="G15" s="54" t="e">
        <f t="shared" ref="G15:L15" si="12">SUM(G8:G14)</f>
        <v>#REF!</v>
      </c>
      <c r="H15" s="54" t="e">
        <f t="shared" si="12"/>
        <v>#REF!</v>
      </c>
      <c r="I15" s="54">
        <f t="shared" si="12"/>
        <v>62635</v>
      </c>
      <c r="J15" s="54">
        <f t="shared" si="12"/>
        <v>70959.000000000015</v>
      </c>
      <c r="K15" s="54">
        <f t="shared" si="12"/>
        <v>80392.000000000029</v>
      </c>
      <c r="L15" s="54">
        <f t="shared" si="12"/>
        <v>88652.000000000029</v>
      </c>
      <c r="M15" s="54">
        <f t="shared" ref="M15:P15" si="13">SUM(M8:M14)</f>
        <v>99166.900000000052</v>
      </c>
      <c r="N15" s="54">
        <f t="shared" si="13"/>
        <v>110733.29000000007</v>
      </c>
      <c r="O15" s="54">
        <f t="shared" ref="O15" si="14">SUM(O8:O14)</f>
        <v>123456.31900000011</v>
      </c>
      <c r="P15" s="54">
        <f t="shared" si="13"/>
        <v>123456.31900000011</v>
      </c>
      <c r="T15" s="32" t="s">
        <v>9</v>
      </c>
      <c r="V15" s="33" t="s">
        <v>18</v>
      </c>
      <c r="X15" s="34">
        <f>Y15-1</f>
        <v>9</v>
      </c>
      <c r="Y15" s="34">
        <f>multiple</f>
        <v>10</v>
      </c>
      <c r="Z15" s="34">
        <f>Y15+1</f>
        <v>11</v>
      </c>
      <c r="AB15" s="34">
        <f>AC15-1</f>
        <v>9</v>
      </c>
      <c r="AC15" s="34">
        <f>multiple</f>
        <v>10</v>
      </c>
      <c r="AD15" s="35">
        <f>AC15+1</f>
        <v>11</v>
      </c>
    </row>
    <row r="16" spans="1:31" ht="14.65" customHeight="1" x14ac:dyDescent="0.55000000000000004">
      <c r="A16" s="52"/>
      <c r="B16" s="36"/>
      <c r="C16" s="30"/>
      <c r="F16" s="37"/>
      <c r="G16" s="38"/>
      <c r="H16" s="38" t="e">
        <f t="shared" ref="H16" si="15">H15/G15-1</f>
        <v>#REF!</v>
      </c>
      <c r="I16" s="38"/>
      <c r="J16" s="38"/>
      <c r="K16" s="38"/>
      <c r="L16" s="38"/>
      <c r="M16" s="38"/>
      <c r="N16" s="38"/>
      <c r="O16" s="38"/>
      <c r="P16" s="38"/>
      <c r="T16" s="39">
        <f>T17-0.005</f>
        <v>7.0999999999999994E-2</v>
      </c>
      <c r="V16" s="40">
        <f>debt+prefstock+mininterest-cash</f>
        <v>30000</v>
      </c>
      <c r="W16" s="40"/>
      <c r="X16" s="40">
        <f t="shared" ref="X16:Z20" si="16">AB7-$V16</f>
        <v>1539644.4591439683</v>
      </c>
      <c r="Y16" s="40">
        <f t="shared" si="16"/>
        <v>1653536.782380363</v>
      </c>
      <c r="Z16" s="40">
        <f t="shared" si="16"/>
        <v>1767429.1056167579</v>
      </c>
      <c r="AB16" s="47">
        <f>X16/sharesout</f>
        <v>15.396444591439684</v>
      </c>
      <c r="AC16" s="149">
        <f>Y16/sharesout</f>
        <v>16.535367823803629</v>
      </c>
      <c r="AD16" s="48">
        <f>Z16/sharesout</f>
        <v>17.674291056167579</v>
      </c>
    </row>
    <row r="17" spans="1:31" ht="14.65" customHeight="1" thickBot="1" x14ac:dyDescent="0.6">
      <c r="A17" s="30"/>
      <c r="B17" s="52"/>
      <c r="C17" s="52"/>
      <c r="D17" s="11"/>
      <c r="E17" s="11"/>
      <c r="F17" s="53"/>
      <c r="G17" s="53"/>
      <c r="H17" s="53"/>
      <c r="I17" s="60"/>
      <c r="J17" s="60"/>
      <c r="K17" s="60"/>
      <c r="L17" s="60"/>
      <c r="M17" s="60"/>
      <c r="N17" s="60"/>
      <c r="O17" s="60"/>
      <c r="P17" s="60"/>
      <c r="T17" s="39">
        <f>T18-0.005</f>
        <v>7.5999999999999998E-2</v>
      </c>
      <c r="V17" s="42">
        <f>debt+prefstock+mininterest-cash</f>
        <v>30000</v>
      </c>
      <c r="W17" s="42"/>
      <c r="X17" s="42">
        <f t="shared" si="16"/>
        <v>1490455.3749290048</v>
      </c>
      <c r="Y17" s="42">
        <f t="shared" si="16"/>
        <v>1600182.0066903471</v>
      </c>
      <c r="Z17" s="42">
        <f t="shared" si="16"/>
        <v>1709908.6384516899</v>
      </c>
      <c r="AB17" s="49">
        <f t="shared" ref="AB17:AD20" si="17">X17/sharesout</f>
        <v>14.904553749290049</v>
      </c>
      <c r="AC17" s="150">
        <f t="shared" si="17"/>
        <v>16.00182006690347</v>
      </c>
      <c r="AD17" s="50">
        <f t="shared" si="17"/>
        <v>17.099086384516898</v>
      </c>
    </row>
    <row r="18" spans="1:31" ht="14.7" thickBot="1" x14ac:dyDescent="0.6">
      <c r="A18" s="30"/>
      <c r="B18" s="52"/>
      <c r="C18" s="52"/>
      <c r="D18" s="11"/>
      <c r="E18" s="11"/>
      <c r="F18" s="53"/>
      <c r="G18" s="53"/>
      <c r="H18" s="53"/>
      <c r="I18" s="54"/>
      <c r="J18" s="54"/>
      <c r="K18" s="54"/>
      <c r="L18" s="54"/>
      <c r="M18" s="54"/>
      <c r="N18" s="54"/>
      <c r="O18" s="54"/>
      <c r="P18" s="54"/>
      <c r="T18" s="44">
        <f>rate</f>
        <v>8.1000000000000003E-2</v>
      </c>
      <c r="V18" s="42">
        <f>debt+prefstock+mininterest-cash</f>
        <v>30000</v>
      </c>
      <c r="W18" s="42"/>
      <c r="X18" s="42">
        <f t="shared" si="16"/>
        <v>1443163.1870192341</v>
      </c>
      <c r="Y18" s="42">
        <f t="shared" si="16"/>
        <v>1548894.7536060191</v>
      </c>
      <c r="Z18" s="42">
        <f t="shared" si="16"/>
        <v>1654626.3201928046</v>
      </c>
      <c r="AB18" s="150">
        <f t="shared" si="17"/>
        <v>14.431631870192341</v>
      </c>
      <c r="AC18" s="153">
        <f t="shared" si="17"/>
        <v>15.488947536060191</v>
      </c>
      <c r="AD18" s="152">
        <f t="shared" si="17"/>
        <v>16.546263201928046</v>
      </c>
    </row>
    <row r="19" spans="1:31" ht="14.4" x14ac:dyDescent="0.55000000000000004">
      <c r="A19" s="30" t="s">
        <v>102</v>
      </c>
      <c r="B19" s="52"/>
      <c r="C19" s="52"/>
      <c r="D19" s="11"/>
      <c r="E19" s="11"/>
      <c r="F19" s="53"/>
      <c r="G19" s="53"/>
      <c r="H19" s="53"/>
      <c r="I19" s="61"/>
      <c r="J19" s="161">
        <v>0.03</v>
      </c>
      <c r="K19" s="61"/>
      <c r="L19" s="61"/>
      <c r="M19" s="61"/>
      <c r="N19" s="61"/>
      <c r="O19" s="61"/>
      <c r="P19" s="61"/>
      <c r="T19" s="39">
        <f>T18+0.005</f>
        <v>8.6000000000000007E-2</v>
      </c>
      <c r="V19" s="42">
        <f>debt+prefstock+mininterest-cash</f>
        <v>30000</v>
      </c>
      <c r="W19" s="42"/>
      <c r="X19" s="42">
        <f t="shared" si="16"/>
        <v>1397684.7037104713</v>
      </c>
      <c r="Y19" s="42">
        <f t="shared" si="16"/>
        <v>1499584.1013232977</v>
      </c>
      <c r="Z19" s="42">
        <f t="shared" si="16"/>
        <v>1601483.4989361246</v>
      </c>
      <c r="AB19" s="49">
        <f t="shared" si="17"/>
        <v>13.976847037104713</v>
      </c>
      <c r="AC19" s="150">
        <f t="shared" si="17"/>
        <v>14.995841013232978</v>
      </c>
      <c r="AD19" s="50">
        <f t="shared" si="17"/>
        <v>16.014834989361248</v>
      </c>
      <c r="AE19" s="11"/>
    </row>
    <row r="20" spans="1:31" s="11" customFormat="1" ht="14.4" x14ac:dyDescent="0.55000000000000004">
      <c r="A20" s="36"/>
      <c r="B20" s="36"/>
      <c r="C20" s="36"/>
      <c r="D20" s="3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T20" s="55">
        <f>T19+0.005</f>
        <v>9.1000000000000011E-2</v>
      </c>
      <c r="U20" s="56"/>
      <c r="V20" s="57">
        <f>debt+prefstock+mininterest-cash</f>
        <v>30000</v>
      </c>
      <c r="W20" s="57"/>
      <c r="X20" s="57">
        <f t="shared" si="16"/>
        <v>1353940.777158625</v>
      </c>
      <c r="Y20" s="57">
        <f t="shared" si="16"/>
        <v>1452163.5553834559</v>
      </c>
      <c r="Z20" s="57">
        <f t="shared" si="16"/>
        <v>1550386.3336082869</v>
      </c>
      <c r="AA20" s="56"/>
      <c r="AB20" s="58">
        <f t="shared" si="17"/>
        <v>13.53940777158625</v>
      </c>
      <c r="AC20" s="151">
        <f t="shared" si="17"/>
        <v>14.52163555383456</v>
      </c>
      <c r="AD20" s="59">
        <f t="shared" si="17"/>
        <v>15.503863336082869</v>
      </c>
    </row>
    <row r="21" spans="1:31" s="11" customFormat="1" ht="14.4" x14ac:dyDescent="0.55000000000000004">
      <c r="A21" s="2" t="s">
        <v>103</v>
      </c>
      <c r="B21" s="2"/>
      <c r="C21" s="2"/>
      <c r="D21" s="2"/>
      <c r="E21" s="2"/>
      <c r="F21" s="2"/>
      <c r="G21" s="2"/>
      <c r="H21" s="2"/>
      <c r="I21" s="143"/>
      <c r="J21" s="163">
        <v>10</v>
      </c>
      <c r="K21" s="143"/>
      <c r="L21" s="143"/>
      <c r="M21" s="143"/>
      <c r="N21" s="143"/>
      <c r="O21" s="143"/>
      <c r="P21" s="143"/>
    </row>
    <row r="22" spans="1:31" s="11" customFormat="1" ht="14.4" x14ac:dyDescent="0.55000000000000004">
      <c r="A22" s="30" t="s">
        <v>106</v>
      </c>
      <c r="B22" s="2"/>
      <c r="C22" s="2"/>
      <c r="D22" s="2"/>
      <c r="E22" s="2"/>
      <c r="F22" s="2"/>
      <c r="G22" s="2"/>
      <c r="H22" s="2"/>
      <c r="I22" s="2"/>
      <c r="J22" s="162">
        <f>P6+P10+P11</f>
        <v>197156.10000000012</v>
      </c>
      <c r="K22" s="2"/>
      <c r="L22" s="2"/>
      <c r="M22" s="2"/>
      <c r="N22" s="2"/>
      <c r="O22" s="2"/>
      <c r="P22" s="2"/>
    </row>
    <row r="23" spans="1:31" s="11" customFormat="1" ht="14.4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31" s="11" customFormat="1" ht="14.4" x14ac:dyDescent="0.55000000000000004">
      <c r="A24" s="62"/>
      <c r="B24" s="36"/>
      <c r="C24" s="36"/>
      <c r="D24" s="3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4.4" x14ac:dyDescent="0.55000000000000004">
      <c r="A25" s="65"/>
      <c r="B25" s="36"/>
      <c r="C25" s="36"/>
      <c r="D25" s="3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31" ht="14.4" x14ac:dyDescent="0.55000000000000004">
      <c r="A26" s="65"/>
      <c r="B26" s="36"/>
      <c r="C26" s="36"/>
      <c r="D26" s="3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4"/>
    </row>
    <row r="27" spans="1:31" ht="14.4" x14ac:dyDescent="0.55000000000000004">
      <c r="A27" s="65"/>
      <c r="B27" s="36"/>
      <c r="C27" s="36"/>
      <c r="D27" s="3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T27" s="20"/>
      <c r="V27" s="21" t="s">
        <v>1</v>
      </c>
      <c r="W27" s="22" t="s">
        <v>2</v>
      </c>
      <c r="X27" s="21" t="s">
        <v>3</v>
      </c>
      <c r="Y27" s="23"/>
      <c r="Z27" s="23"/>
      <c r="AA27" s="2" t="s">
        <v>4</v>
      </c>
      <c r="AB27" s="21" t="s">
        <v>5</v>
      </c>
      <c r="AC27" s="23"/>
      <c r="AD27" s="24"/>
    </row>
    <row r="28" spans="1:31" ht="14.4" x14ac:dyDescent="0.55000000000000004">
      <c r="A28" s="65"/>
      <c r="B28" s="36"/>
      <c r="C28" s="36"/>
      <c r="D28" s="3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R28" s="143"/>
      <c r="T28" s="20"/>
      <c r="V28" s="25" t="s">
        <v>6</v>
      </c>
      <c r="X28" s="26" t="s">
        <v>24</v>
      </c>
      <c r="Y28" s="26"/>
      <c r="Z28" s="26"/>
      <c r="AB28" s="26" t="s">
        <v>25</v>
      </c>
      <c r="AC28" s="27"/>
      <c r="AD28" s="28"/>
    </row>
    <row r="29" spans="1:31" ht="14.4" x14ac:dyDescent="0.55000000000000004">
      <c r="A29" s="65"/>
      <c r="C29" s="36"/>
      <c r="D29" s="3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T29" s="32" t="s">
        <v>9</v>
      </c>
      <c r="V29" s="33" t="str">
        <f t="shared" ref="V29:V34" si="18">V6</f>
        <v>Flows 2005-2008</v>
      </c>
      <c r="X29" s="63">
        <f>Y29-0.01</f>
        <v>1.9999999999999997E-2</v>
      </c>
      <c r="Y29" s="63">
        <f>termgrowth</f>
        <v>0.03</v>
      </c>
      <c r="Z29" s="63">
        <f>Y29+0.01</f>
        <v>0.04</v>
      </c>
      <c r="AB29" s="63">
        <f>AC29-0.01</f>
        <v>1.9999999999999997E-2</v>
      </c>
      <c r="AC29" s="63">
        <f>termgrowth</f>
        <v>0.03</v>
      </c>
      <c r="AD29" s="64">
        <f>AC29+0.01</f>
        <v>0.04</v>
      </c>
    </row>
    <row r="30" spans="1:31" ht="14.4" x14ac:dyDescent="0.55000000000000004">
      <c r="A30" s="65"/>
      <c r="C30" s="36"/>
      <c r="D30" s="3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T30" s="39">
        <f>T31-0.005</f>
        <v>7.0999999999999994E-2</v>
      </c>
      <c r="V30" s="145">
        <f t="shared" si="18"/>
        <v>544613.550016416</v>
      </c>
      <c r="W30" s="40"/>
      <c r="X30" s="40">
        <f>$P$15*(1+X$29)/($T30-X$29)*(1/(1+$T30)^8)</f>
        <v>1426354.7502840094</v>
      </c>
      <c r="Y30" s="40">
        <f>$P$15*(1+Y$29)/($T30-Y$29)*(1/(1+$T30)^8)</f>
        <v>1791640.7229177195</v>
      </c>
      <c r="Z30" s="40">
        <f>$P$15*(1+Z$29)/($T30-Z$29)*(1/(1+$T30)^8)</f>
        <v>2392595.0649925321</v>
      </c>
      <c r="AB30" s="40">
        <f t="shared" ref="AB30:AD34" si="19">$V30+X30</f>
        <v>1970968.3003004254</v>
      </c>
      <c r="AC30" s="167">
        <f t="shared" si="19"/>
        <v>2336254.2729341355</v>
      </c>
      <c r="AD30" s="41">
        <f t="shared" si="19"/>
        <v>2937208.6150089484</v>
      </c>
    </row>
    <row r="31" spans="1:31" ht="14.4" x14ac:dyDescent="0.55000000000000004">
      <c r="A31" s="65"/>
      <c r="B31" s="36"/>
      <c r="C31" s="36"/>
      <c r="D31" s="3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T31" s="39">
        <f>T32-0.005</f>
        <v>7.5999999999999998E-2</v>
      </c>
      <c r="V31" s="42">
        <f t="shared" si="18"/>
        <v>532915.68907692295</v>
      </c>
      <c r="W31" s="42"/>
      <c r="X31" s="40">
        <f t="shared" ref="X31:Z34" si="20">$P$15*(1+X$29)/($T31-X$29)*(1/(1+$T31)^8)</f>
        <v>1251489.7526987048</v>
      </c>
      <c r="Y31" s="40">
        <f t="shared" si="20"/>
        <v>1538489.5340081267</v>
      </c>
      <c r="Z31" s="40">
        <f t="shared" si="20"/>
        <v>1984933.638267227</v>
      </c>
      <c r="AB31" s="42">
        <f t="shared" si="19"/>
        <v>1784405.4417756279</v>
      </c>
      <c r="AC31" s="165">
        <f t="shared" si="19"/>
        <v>2071405.2230850495</v>
      </c>
      <c r="AD31" s="43">
        <f t="shared" si="19"/>
        <v>2517849.3273441498</v>
      </c>
    </row>
    <row r="32" spans="1:31" ht="14.4" x14ac:dyDescent="0.55000000000000004">
      <c r="A32" s="65"/>
      <c r="B32" s="36"/>
      <c r="C32" s="36"/>
      <c r="D32" s="3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T32" s="44">
        <f>rate</f>
        <v>8.1000000000000003E-2</v>
      </c>
      <c r="V32" s="42">
        <f t="shared" si="18"/>
        <v>521579.08773816645</v>
      </c>
      <c r="W32" s="42"/>
      <c r="X32" s="40">
        <f t="shared" si="20"/>
        <v>1107077.7156070804</v>
      </c>
      <c r="Y32" s="40">
        <f t="shared" si="20"/>
        <v>1337133.6576623004</v>
      </c>
      <c r="Z32" s="40">
        <f t="shared" si="20"/>
        <v>1679412.0104761641</v>
      </c>
      <c r="AB32" s="165">
        <f t="shared" si="19"/>
        <v>1628656.8033452467</v>
      </c>
      <c r="AC32" s="165">
        <f t="shared" si="19"/>
        <v>1858712.745400467</v>
      </c>
      <c r="AD32" s="166">
        <f t="shared" si="19"/>
        <v>2200991.0982143306</v>
      </c>
    </row>
    <row r="33" spans="1:30" ht="14.4" x14ac:dyDescent="0.55000000000000004">
      <c r="A33" s="65"/>
      <c r="B33" s="36"/>
      <c r="C33" s="36"/>
      <c r="D33" s="3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T33" s="39">
        <f>T32+0.005</f>
        <v>8.6000000000000007E-2</v>
      </c>
      <c r="V33" s="42">
        <f t="shared" si="18"/>
        <v>510590.12519503111</v>
      </c>
      <c r="W33" s="42"/>
      <c r="X33" s="40">
        <f t="shared" si="20"/>
        <v>986122.70424366777</v>
      </c>
      <c r="Y33" s="40">
        <f t="shared" si="20"/>
        <v>1173610.3192311719</v>
      </c>
      <c r="Z33" s="40">
        <f t="shared" si="20"/>
        <v>1442614.2885610689</v>
      </c>
      <c r="AB33" s="42">
        <f t="shared" si="19"/>
        <v>1496712.8294386989</v>
      </c>
      <c r="AC33" s="165">
        <f t="shared" si="19"/>
        <v>1684200.4444262029</v>
      </c>
      <c r="AD33" s="43">
        <f t="shared" si="19"/>
        <v>1953204.4137561</v>
      </c>
    </row>
    <row r="34" spans="1:30" ht="14.4" x14ac:dyDescent="0.55000000000000004">
      <c r="A34" s="65"/>
      <c r="B34" s="36"/>
      <c r="C34" s="36"/>
      <c r="D34" s="3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T34" s="39">
        <f>T33+0.005</f>
        <v>9.1000000000000011E-2</v>
      </c>
      <c r="V34" s="42">
        <f t="shared" si="18"/>
        <v>499935.77313514776</v>
      </c>
      <c r="W34" s="42"/>
      <c r="X34" s="40">
        <f t="shared" si="20"/>
        <v>883602.91948993993</v>
      </c>
      <c r="Y34" s="40">
        <f t="shared" si="20"/>
        <v>1038538.7576711555</v>
      </c>
      <c r="Z34" s="40">
        <f t="shared" si="20"/>
        <v>1254233.748080299</v>
      </c>
      <c r="AB34" s="42">
        <f t="shared" si="19"/>
        <v>1383538.6926250877</v>
      </c>
      <c r="AC34" s="165">
        <f t="shared" si="19"/>
        <v>1538474.5308063033</v>
      </c>
      <c r="AD34" s="43">
        <f t="shared" si="19"/>
        <v>1754169.5212154468</v>
      </c>
    </row>
    <row r="35" spans="1:30" ht="14.4" x14ac:dyDescent="0.55000000000000004">
      <c r="A35" s="65"/>
      <c r="B35" s="36"/>
      <c r="C35" s="36"/>
      <c r="D35" s="3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T35" s="20"/>
      <c r="AD35" s="29"/>
    </row>
    <row r="36" spans="1:30" ht="15" customHeight="1" x14ac:dyDescent="0.55000000000000004">
      <c r="T36" s="20"/>
      <c r="U36" s="2" t="s">
        <v>11</v>
      </c>
      <c r="V36" s="21" t="s">
        <v>12</v>
      </c>
      <c r="W36" s="22" t="s">
        <v>4</v>
      </c>
      <c r="X36" s="21" t="s">
        <v>13</v>
      </c>
      <c r="Y36" s="23"/>
      <c r="Z36" s="23"/>
      <c r="AB36" s="21" t="s">
        <v>14</v>
      </c>
      <c r="AC36" s="23"/>
      <c r="AD36" s="24"/>
    </row>
    <row r="37" spans="1:30" ht="15" customHeight="1" x14ac:dyDescent="0.55000000000000004">
      <c r="E37" s="52"/>
      <c r="G37" s="68"/>
      <c r="I37" s="52"/>
      <c r="J37" s="30"/>
      <c r="T37" s="20"/>
      <c r="V37" s="25"/>
      <c r="X37" s="26" t="s">
        <v>27</v>
      </c>
      <c r="Y37" s="26"/>
      <c r="Z37" s="26"/>
      <c r="AB37" s="26" t="s">
        <v>28</v>
      </c>
      <c r="AC37" s="27"/>
      <c r="AD37" s="28"/>
    </row>
    <row r="38" spans="1:30" ht="15" customHeight="1" x14ac:dyDescent="0.55000000000000004">
      <c r="E38" s="11"/>
      <c r="G38" s="69"/>
      <c r="H38" s="22"/>
      <c r="I38" s="11"/>
      <c r="T38" s="32" t="s">
        <v>9</v>
      </c>
      <c r="V38" s="33" t="s">
        <v>18</v>
      </c>
      <c r="X38" s="63">
        <f>Y38-0.01</f>
        <v>1.9999999999999997E-2</v>
      </c>
      <c r="Y38" s="63">
        <f>termgrowth</f>
        <v>0.03</v>
      </c>
      <c r="Z38" s="63">
        <f>Y38+0.01</f>
        <v>0.04</v>
      </c>
      <c r="AB38" s="63">
        <f>AC38-0.01</f>
        <v>1.9999999999999997E-2</v>
      </c>
      <c r="AC38" s="63">
        <f>termgrowth</f>
        <v>0.03</v>
      </c>
      <c r="AD38" s="64">
        <f>AC38+0.01</f>
        <v>0.04</v>
      </c>
    </row>
    <row r="39" spans="1:30" ht="15" customHeight="1" x14ac:dyDescent="0.55000000000000004">
      <c r="E39" s="30"/>
      <c r="G39" s="71"/>
      <c r="H39" s="72"/>
      <c r="I39" s="30"/>
      <c r="J39" s="30"/>
      <c r="T39" s="39">
        <f>T40-0.005</f>
        <v>7.0999999999999994E-2</v>
      </c>
      <c r="V39" s="40">
        <f>debt+prefstock+mininterest-cash</f>
        <v>30000</v>
      </c>
      <c r="W39" s="40"/>
      <c r="X39" s="40">
        <f>AB30-$V39</f>
        <v>1940968.3003004254</v>
      </c>
      <c r="Y39" s="40">
        <f t="shared" ref="X39:Z43" si="21">AC30-$V39</f>
        <v>2306254.2729341355</v>
      </c>
      <c r="Z39" s="40">
        <f t="shared" si="21"/>
        <v>2907208.6150089484</v>
      </c>
      <c r="AB39" s="47">
        <f>X39/sharesout</f>
        <v>19.409683003004254</v>
      </c>
      <c r="AC39" s="149">
        <f t="shared" ref="AB39:AD43" si="22">Y39/sharesout</f>
        <v>23.062542729341356</v>
      </c>
      <c r="AD39" s="48">
        <f t="shared" si="22"/>
        <v>29.072086150089483</v>
      </c>
    </row>
    <row r="40" spans="1:30" ht="15" customHeight="1" thickBot="1" x14ac:dyDescent="0.6">
      <c r="T40" s="39">
        <f>T41-0.005</f>
        <v>7.5999999999999998E-2</v>
      </c>
      <c r="V40" s="42">
        <f>debt+prefstock+mininterest-cash</f>
        <v>30000</v>
      </c>
      <c r="W40" s="42"/>
      <c r="X40" s="42">
        <f t="shared" si="21"/>
        <v>1754405.4417756279</v>
      </c>
      <c r="Y40" s="42">
        <f t="shared" si="21"/>
        <v>2041405.2230850495</v>
      </c>
      <c r="Z40" s="42">
        <f t="shared" si="21"/>
        <v>2487849.3273441498</v>
      </c>
      <c r="AB40" s="49">
        <f>X40/sharesout</f>
        <v>17.544054417756278</v>
      </c>
      <c r="AC40" s="150">
        <f t="shared" si="22"/>
        <v>20.414052230850494</v>
      </c>
      <c r="AD40" s="50">
        <f t="shared" si="22"/>
        <v>24.878493273441499</v>
      </c>
    </row>
    <row r="41" spans="1:30" ht="15" customHeight="1" thickBot="1" x14ac:dyDescent="0.6">
      <c r="T41" s="44">
        <f>rate</f>
        <v>8.1000000000000003E-2</v>
      </c>
      <c r="V41" s="42">
        <f>debt+prefstock+mininterest-cash</f>
        <v>30000</v>
      </c>
      <c r="W41" s="42"/>
      <c r="X41" s="42">
        <f t="shared" si="21"/>
        <v>1598656.8033452467</v>
      </c>
      <c r="Y41" s="42">
        <f t="shared" si="21"/>
        <v>1828712.745400467</v>
      </c>
      <c r="Z41" s="42">
        <f t="shared" si="21"/>
        <v>2170991.0982143306</v>
      </c>
      <c r="AB41" s="150">
        <f t="shared" si="22"/>
        <v>15.986568033452468</v>
      </c>
      <c r="AC41" s="153">
        <f t="shared" si="22"/>
        <v>18.287127454004668</v>
      </c>
      <c r="AD41" s="152">
        <f t="shared" si="22"/>
        <v>21.709910982143306</v>
      </c>
    </row>
    <row r="42" spans="1:30" ht="15" customHeight="1" x14ac:dyDescent="0.55000000000000004">
      <c r="T42" s="39">
        <f>T41+0.005</f>
        <v>8.6000000000000007E-2</v>
      </c>
      <c r="V42" s="42">
        <f>debt+prefstock+mininterest-cash</f>
        <v>30000</v>
      </c>
      <c r="W42" s="42"/>
      <c r="X42" s="42">
        <f t="shared" si="21"/>
        <v>1466712.8294386989</v>
      </c>
      <c r="Y42" s="42">
        <f t="shared" si="21"/>
        <v>1654200.4444262029</v>
      </c>
      <c r="Z42" s="42">
        <f t="shared" si="21"/>
        <v>1923204.4137561</v>
      </c>
      <c r="AB42" s="49">
        <f t="shared" si="22"/>
        <v>14.667128294386989</v>
      </c>
      <c r="AC42" s="150">
        <f t="shared" si="22"/>
        <v>16.54200444426203</v>
      </c>
      <c r="AD42" s="50">
        <f t="shared" si="22"/>
        <v>19.232044137561001</v>
      </c>
    </row>
    <row r="43" spans="1:30" ht="15" customHeight="1" x14ac:dyDescent="0.55000000000000004">
      <c r="R43" s="70"/>
      <c r="T43" s="55">
        <f>T42+0.005</f>
        <v>9.1000000000000011E-2</v>
      </c>
      <c r="U43" s="56"/>
      <c r="V43" s="57">
        <f>debt+prefstock+mininterest-cash</f>
        <v>30000</v>
      </c>
      <c r="W43" s="57"/>
      <c r="X43" s="57">
        <f t="shared" si="21"/>
        <v>1353538.6926250877</v>
      </c>
      <c r="Y43" s="57">
        <f t="shared" si="21"/>
        <v>1508474.5308063033</v>
      </c>
      <c r="Z43" s="57">
        <f t="shared" si="21"/>
        <v>1724169.5212154468</v>
      </c>
      <c r="AA43" s="56"/>
      <c r="AB43" s="58">
        <f t="shared" si="22"/>
        <v>13.535386926250878</v>
      </c>
      <c r="AC43" s="151">
        <f t="shared" si="22"/>
        <v>15.084745308063033</v>
      </c>
      <c r="AD43" s="59">
        <f t="shared" si="22"/>
        <v>17.241695212154468</v>
      </c>
    </row>
    <row r="44" spans="1:30" ht="6.75" customHeight="1" x14ac:dyDescent="0.55000000000000004">
      <c r="R44" s="70"/>
    </row>
    <row r="45" spans="1:30" ht="13" customHeight="1" x14ac:dyDescent="0.55000000000000004">
      <c r="T45" s="36" t="s">
        <v>29</v>
      </c>
    </row>
    <row r="52" spans="29:29" ht="13" customHeight="1" x14ac:dyDescent="0.55000000000000004">
      <c r="AC52" s="146"/>
    </row>
    <row r="54" spans="29:29" ht="13" customHeight="1" x14ac:dyDescent="0.55000000000000004">
      <c r="AC54" s="42"/>
    </row>
    <row r="56" spans="29:29" ht="13" customHeight="1" x14ac:dyDescent="0.55000000000000004">
      <c r="AC56" s="42"/>
    </row>
    <row r="57" spans="29:29" ht="13" customHeight="1" x14ac:dyDescent="0.55000000000000004">
      <c r="AC57" s="49"/>
    </row>
  </sheetData>
  <protectedRanges>
    <protectedRange sqref="G37" name="Range1_2"/>
  </protectedRanges>
  <conditionalFormatting sqref="G38:G39">
    <cfRule type="cellIs" dxfId="0" priority="1" stopIfTrue="1" operator="equal">
      <formula>0.000001</formula>
    </cfRule>
  </conditionalFormatting>
  <printOptions horizontalCentered="1"/>
  <pageMargins left="0.5" right="0.5" top="0.7" bottom="0.65" header="0.25" footer="0.25"/>
  <pageSetup scale="75" fitToWidth="2" orientation="landscape" r:id="rId1"/>
  <headerFooter alignWithMargins="0"/>
  <colBreaks count="1" manualBreakCount="1">
    <brk id="19" max="4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"/>
  <sheetViews>
    <sheetView showGridLines="0" zoomScale="80" zoomScaleNormal="80" workbookViewId="0">
      <selection activeCell="F12" sqref="F12"/>
    </sheetView>
  </sheetViews>
  <sheetFormatPr defaultColWidth="9.1640625" defaultRowHeight="13" customHeight="1" x14ac:dyDescent="0.55000000000000004"/>
  <cols>
    <col min="1" max="1" width="2.44140625" style="2" customWidth="1"/>
    <col min="2" max="2" width="1.71875" style="2" customWidth="1"/>
    <col min="3" max="5" width="8.27734375" style="2" customWidth="1"/>
    <col min="6" max="13" width="13.71875" style="2" bestFit="1" customWidth="1"/>
    <col min="14" max="14" width="14.44140625" style="2" customWidth="1"/>
    <col min="15" max="15" width="13.71875" style="2" bestFit="1" customWidth="1"/>
    <col min="16" max="16" width="1.1640625" style="2" customWidth="1"/>
    <col min="17" max="17" width="13.71875" style="2" bestFit="1" customWidth="1"/>
    <col min="18" max="25" width="9.1640625" style="2"/>
    <col min="26" max="26" width="25.5546875" style="2" customWidth="1"/>
    <col min="27" max="27" width="1.71875" style="2" customWidth="1"/>
    <col min="28" max="28" width="9.1640625" style="2"/>
    <col min="29" max="29" width="40" style="2" customWidth="1"/>
    <col min="30" max="30" width="1.71875" style="2" customWidth="1"/>
    <col min="31" max="31" width="9.1640625" style="2"/>
    <col min="32" max="32" width="54.44140625" style="2" customWidth="1"/>
    <col min="33" max="16384" width="9.1640625" style="2"/>
  </cols>
  <sheetData>
    <row r="1" spans="1:26" s="1" customFormat="1" ht="18.3" thickBot="1" x14ac:dyDescent="0.7">
      <c r="A1" s="73" t="str">
        <f>"Assumptions for "&amp;Name</f>
        <v>Assumptions for ABC Inc.</v>
      </c>
      <c r="P1" s="74"/>
      <c r="Q1" s="74"/>
      <c r="S1" s="75"/>
      <c r="U1" s="76"/>
    </row>
    <row r="2" spans="1:26" ht="14.4" x14ac:dyDescent="0.55000000000000004">
      <c r="A2" s="8" t="str">
        <f>Subheader</f>
        <v>Dollars in millions, except per share</v>
      </c>
      <c r="B2" s="9"/>
      <c r="C2" s="9"/>
      <c r="D2" s="9"/>
      <c r="E2" s="9"/>
      <c r="F2" s="9"/>
      <c r="G2" s="9"/>
      <c r="H2" s="9"/>
      <c r="I2" s="9"/>
      <c r="J2" s="77"/>
      <c r="K2" s="9"/>
      <c r="L2" s="9"/>
      <c r="M2" s="9"/>
      <c r="N2" s="9"/>
      <c r="O2" s="9"/>
      <c r="P2" s="9"/>
      <c r="Q2" s="9"/>
      <c r="S2" s="78"/>
      <c r="U2" s="79"/>
      <c r="V2" s="79"/>
      <c r="W2" s="79"/>
      <c r="X2" s="79"/>
      <c r="Y2" s="79"/>
      <c r="Z2" s="79"/>
    </row>
    <row r="3" spans="1:26" ht="14.4" x14ac:dyDescent="0.55000000000000004">
      <c r="A3" s="3"/>
      <c r="J3" s="80"/>
      <c r="S3" s="78"/>
      <c r="U3" s="79"/>
      <c r="V3" s="79"/>
      <c r="W3" s="79"/>
      <c r="X3" s="79"/>
      <c r="Y3" s="79"/>
      <c r="Z3" s="79"/>
    </row>
    <row r="4" spans="1:26" ht="14.4" x14ac:dyDescent="0.55000000000000004">
      <c r="A4" s="81" t="s">
        <v>30</v>
      </c>
      <c r="B4" s="82"/>
      <c r="C4" s="82"/>
      <c r="D4" s="82"/>
      <c r="E4" s="82"/>
      <c r="F4" s="83" t="s">
        <v>31</v>
      </c>
      <c r="G4" s="82"/>
      <c r="H4" s="82"/>
      <c r="I4" s="83" t="s">
        <v>32</v>
      </c>
      <c r="J4" s="83" t="s">
        <v>30</v>
      </c>
      <c r="K4" s="82"/>
      <c r="L4" s="83" t="s">
        <v>31</v>
      </c>
      <c r="M4" s="82"/>
      <c r="N4" s="82"/>
      <c r="O4" s="84" t="s">
        <v>32</v>
      </c>
      <c r="S4" s="78"/>
      <c r="U4" s="79"/>
      <c r="V4" s="79"/>
      <c r="W4" s="79"/>
      <c r="X4" s="79"/>
      <c r="Y4" s="79"/>
      <c r="Z4" s="79"/>
    </row>
    <row r="5" spans="1:26" ht="14.4" x14ac:dyDescent="0.55000000000000004">
      <c r="A5" s="12" t="s">
        <v>33</v>
      </c>
      <c r="B5" s="13"/>
      <c r="C5" s="13"/>
      <c r="D5" s="13"/>
      <c r="E5" s="13"/>
      <c r="F5" s="85" t="s">
        <v>98</v>
      </c>
      <c r="G5" s="13"/>
      <c r="H5" s="13"/>
      <c r="I5" s="14" t="s">
        <v>34</v>
      </c>
      <c r="J5" s="13"/>
      <c r="K5" s="13"/>
      <c r="L5" s="86"/>
      <c r="M5" s="13"/>
      <c r="N5" s="13"/>
      <c r="O5" s="14"/>
      <c r="S5" s="78"/>
      <c r="U5" s="79"/>
      <c r="V5" s="79"/>
      <c r="W5" s="79"/>
      <c r="X5" s="79"/>
      <c r="Y5" s="79"/>
      <c r="Z5" s="79"/>
    </row>
    <row r="6" spans="1:26" ht="14.4" x14ac:dyDescent="0.55000000000000004">
      <c r="A6" s="20" t="s">
        <v>35</v>
      </c>
      <c r="F6" s="87" t="s">
        <v>36</v>
      </c>
      <c r="I6" s="29" t="s">
        <v>37</v>
      </c>
      <c r="J6" s="2" t="s">
        <v>38</v>
      </c>
      <c r="L6" s="88">
        <v>100000</v>
      </c>
      <c r="O6" s="29" t="s">
        <v>39</v>
      </c>
      <c r="P6" s="89"/>
      <c r="S6" s="78"/>
      <c r="U6" s="79"/>
      <c r="V6" s="79"/>
      <c r="W6" s="79"/>
      <c r="X6" s="79"/>
      <c r="Y6" s="79"/>
      <c r="Z6" s="79"/>
    </row>
    <row r="7" spans="1:26" ht="14.4" x14ac:dyDescent="0.55000000000000004">
      <c r="A7" s="20" t="s">
        <v>40</v>
      </c>
      <c r="F7" s="90">
        <v>43830</v>
      </c>
      <c r="G7" s="89"/>
      <c r="I7" s="29" t="s">
        <v>41</v>
      </c>
      <c r="J7" s="2" t="s">
        <v>42</v>
      </c>
      <c r="L7" s="91">
        <v>20000</v>
      </c>
      <c r="O7" s="29" t="s">
        <v>43</v>
      </c>
      <c r="S7" s="78"/>
      <c r="U7" s="79"/>
      <c r="V7" s="79"/>
      <c r="W7" s="79"/>
      <c r="X7" s="79"/>
      <c r="Y7" s="79"/>
      <c r="Z7" s="79"/>
    </row>
    <row r="8" spans="1:26" ht="14.4" x14ac:dyDescent="0.55000000000000004">
      <c r="A8" s="20" t="s">
        <v>44</v>
      </c>
      <c r="F8" s="101">
        <v>0.21</v>
      </c>
      <c r="G8" s="89"/>
      <c r="I8" s="29" t="s">
        <v>45</v>
      </c>
      <c r="J8" s="2" t="s">
        <v>46</v>
      </c>
      <c r="L8" s="91">
        <v>10000</v>
      </c>
      <c r="O8" s="29" t="s">
        <v>47</v>
      </c>
      <c r="S8" s="78"/>
      <c r="U8" s="79"/>
      <c r="V8" s="79"/>
      <c r="W8" s="79"/>
      <c r="X8" s="79"/>
      <c r="Y8" s="79"/>
      <c r="Z8" s="79"/>
    </row>
    <row r="9" spans="1:26" ht="14.4" x14ac:dyDescent="0.55000000000000004">
      <c r="A9" s="20" t="s">
        <v>48</v>
      </c>
      <c r="F9" s="90">
        <f>FYE</f>
        <v>43830</v>
      </c>
      <c r="G9" s="89"/>
      <c r="I9" s="29" t="s">
        <v>49</v>
      </c>
      <c r="J9" s="2" t="s">
        <v>50</v>
      </c>
      <c r="L9" s="91">
        <v>0</v>
      </c>
      <c r="O9" s="29" t="s">
        <v>51</v>
      </c>
      <c r="S9" s="78"/>
      <c r="U9" s="79"/>
      <c r="V9" s="79"/>
      <c r="W9" s="79"/>
      <c r="X9" s="79"/>
      <c r="Y9" s="79"/>
      <c r="Z9" s="79"/>
    </row>
    <row r="10" spans="1:26" ht="14.4" x14ac:dyDescent="0.55000000000000004">
      <c r="A10" s="20" t="s">
        <v>52</v>
      </c>
      <c r="F10" s="92">
        <v>0.03</v>
      </c>
      <c r="G10" s="89"/>
      <c r="I10" s="29" t="s">
        <v>53</v>
      </c>
      <c r="J10" s="2" t="s">
        <v>54</v>
      </c>
      <c r="L10" s="91">
        <v>0</v>
      </c>
      <c r="M10" s="89"/>
      <c r="O10" s="29" t="s">
        <v>55</v>
      </c>
      <c r="S10" s="78"/>
      <c r="U10" s="79"/>
      <c r="V10" s="79"/>
      <c r="W10" s="79"/>
      <c r="X10" s="79"/>
      <c r="Y10" s="79"/>
      <c r="Z10" s="79"/>
    </row>
    <row r="11" spans="1:26" ht="14.4" x14ac:dyDescent="0.55000000000000004">
      <c r="A11" s="20" t="s">
        <v>56</v>
      </c>
      <c r="F11" s="92">
        <f>'WACCtemplate '!H22</f>
        <v>8.1000000000000003E-2</v>
      </c>
      <c r="I11" s="29" t="s">
        <v>57</v>
      </c>
      <c r="L11" s="93"/>
      <c r="M11" s="89"/>
      <c r="O11" s="29"/>
      <c r="S11" s="78"/>
      <c r="U11" s="79"/>
      <c r="V11" s="79"/>
      <c r="W11" s="79"/>
      <c r="X11" s="79"/>
      <c r="Y11" s="79"/>
      <c r="Z11" s="79"/>
    </row>
    <row r="12" spans="1:26" ht="14.4" x14ac:dyDescent="0.55000000000000004">
      <c r="A12" s="20" t="s">
        <v>58</v>
      </c>
      <c r="F12" s="94">
        <v>10</v>
      </c>
      <c r="G12" s="89"/>
      <c r="I12" s="29" t="s">
        <v>59</v>
      </c>
      <c r="L12" s="93"/>
      <c r="M12" s="89"/>
      <c r="O12" s="29"/>
      <c r="S12" s="78"/>
      <c r="U12" s="79"/>
      <c r="V12" s="79"/>
      <c r="W12" s="79"/>
      <c r="X12" s="79"/>
      <c r="Y12" s="79"/>
      <c r="Z12" s="79"/>
    </row>
    <row r="13" spans="1:26" ht="14.4" x14ac:dyDescent="0.55000000000000004">
      <c r="A13" s="95" t="s">
        <v>0</v>
      </c>
      <c r="B13" s="56"/>
      <c r="C13" s="56"/>
      <c r="D13" s="56"/>
      <c r="E13" s="56"/>
      <c r="F13" s="96">
        <v>0</v>
      </c>
      <c r="G13" s="97"/>
      <c r="H13" s="56"/>
      <c r="I13" s="98" t="s">
        <v>60</v>
      </c>
      <c r="J13" s="56"/>
      <c r="K13" s="56"/>
      <c r="L13" s="99"/>
      <c r="M13" s="97"/>
      <c r="N13" s="56"/>
      <c r="O13" s="98"/>
      <c r="S13" s="78"/>
      <c r="U13" s="79"/>
      <c r="V13" s="79"/>
      <c r="W13" s="79"/>
      <c r="X13" s="79"/>
      <c r="Y13" s="79"/>
      <c r="Z13" s="79"/>
    </row>
  </sheetData>
  <printOptions horizontalCentered="1"/>
  <pageMargins left="0.5" right="0.5" top="0.7" bottom="0.65" header="0.25" footer="0.2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7"/>
  <sheetViews>
    <sheetView showGridLines="0" workbookViewId="0">
      <selection activeCell="F32" sqref="F32"/>
    </sheetView>
  </sheetViews>
  <sheetFormatPr defaultColWidth="7.71875" defaultRowHeight="12.3" x14ac:dyDescent="0.4"/>
  <cols>
    <col min="2" max="2" width="43.44140625" customWidth="1"/>
    <col min="4" max="4" width="24.27734375" bestFit="1" customWidth="1"/>
    <col min="5" max="5" width="1.44140625" customWidth="1"/>
    <col min="6" max="6" width="9.71875" customWidth="1"/>
    <col min="7" max="7" width="10.71875" customWidth="1"/>
    <col min="12" max="12" width="1.44140625" customWidth="1"/>
    <col min="258" max="258" width="43.44140625" customWidth="1"/>
    <col min="261" max="261" width="1.44140625" customWidth="1"/>
    <col min="262" max="262" width="9.71875" customWidth="1"/>
    <col min="263" max="263" width="10.71875" customWidth="1"/>
    <col min="268" max="268" width="1.44140625" customWidth="1"/>
    <col min="514" max="514" width="43.44140625" customWidth="1"/>
    <col min="517" max="517" width="1.44140625" customWidth="1"/>
    <col min="518" max="518" width="9.71875" customWidth="1"/>
    <col min="519" max="519" width="10.71875" customWidth="1"/>
    <col min="524" max="524" width="1.44140625" customWidth="1"/>
    <col min="770" max="770" width="43.44140625" customWidth="1"/>
    <col min="773" max="773" width="1.44140625" customWidth="1"/>
    <col min="774" max="774" width="9.71875" customWidth="1"/>
    <col min="775" max="775" width="10.71875" customWidth="1"/>
    <col min="780" max="780" width="1.44140625" customWidth="1"/>
    <col min="1026" max="1026" width="43.44140625" customWidth="1"/>
    <col min="1029" max="1029" width="1.44140625" customWidth="1"/>
    <col min="1030" max="1030" width="9.71875" customWidth="1"/>
    <col min="1031" max="1031" width="10.71875" customWidth="1"/>
    <col min="1036" max="1036" width="1.44140625" customWidth="1"/>
    <col min="1282" max="1282" width="43.44140625" customWidth="1"/>
    <col min="1285" max="1285" width="1.44140625" customWidth="1"/>
    <col min="1286" max="1286" width="9.71875" customWidth="1"/>
    <col min="1287" max="1287" width="10.71875" customWidth="1"/>
    <col min="1292" max="1292" width="1.44140625" customWidth="1"/>
    <col min="1538" max="1538" width="43.44140625" customWidth="1"/>
    <col min="1541" max="1541" width="1.44140625" customWidth="1"/>
    <col min="1542" max="1542" width="9.71875" customWidth="1"/>
    <col min="1543" max="1543" width="10.71875" customWidth="1"/>
    <col min="1548" max="1548" width="1.44140625" customWidth="1"/>
    <col min="1794" max="1794" width="43.44140625" customWidth="1"/>
    <col min="1797" max="1797" width="1.44140625" customWidth="1"/>
    <col min="1798" max="1798" width="9.71875" customWidth="1"/>
    <col min="1799" max="1799" width="10.71875" customWidth="1"/>
    <col min="1804" max="1804" width="1.44140625" customWidth="1"/>
    <col min="2050" max="2050" width="43.44140625" customWidth="1"/>
    <col min="2053" max="2053" width="1.44140625" customWidth="1"/>
    <col min="2054" max="2054" width="9.71875" customWidth="1"/>
    <col min="2055" max="2055" width="10.71875" customWidth="1"/>
    <col min="2060" max="2060" width="1.44140625" customWidth="1"/>
    <col min="2306" max="2306" width="43.44140625" customWidth="1"/>
    <col min="2309" max="2309" width="1.44140625" customWidth="1"/>
    <col min="2310" max="2310" width="9.71875" customWidth="1"/>
    <col min="2311" max="2311" width="10.71875" customWidth="1"/>
    <col min="2316" max="2316" width="1.44140625" customWidth="1"/>
    <col min="2562" max="2562" width="43.44140625" customWidth="1"/>
    <col min="2565" max="2565" width="1.44140625" customWidth="1"/>
    <col min="2566" max="2566" width="9.71875" customWidth="1"/>
    <col min="2567" max="2567" width="10.71875" customWidth="1"/>
    <col min="2572" max="2572" width="1.44140625" customWidth="1"/>
    <col min="2818" max="2818" width="43.44140625" customWidth="1"/>
    <col min="2821" max="2821" width="1.44140625" customWidth="1"/>
    <col min="2822" max="2822" width="9.71875" customWidth="1"/>
    <col min="2823" max="2823" width="10.71875" customWidth="1"/>
    <col min="2828" max="2828" width="1.44140625" customWidth="1"/>
    <col min="3074" max="3074" width="43.44140625" customWidth="1"/>
    <col min="3077" max="3077" width="1.44140625" customWidth="1"/>
    <col min="3078" max="3078" width="9.71875" customWidth="1"/>
    <col min="3079" max="3079" width="10.71875" customWidth="1"/>
    <col min="3084" max="3084" width="1.44140625" customWidth="1"/>
    <col min="3330" max="3330" width="43.44140625" customWidth="1"/>
    <col min="3333" max="3333" width="1.44140625" customWidth="1"/>
    <col min="3334" max="3334" width="9.71875" customWidth="1"/>
    <col min="3335" max="3335" width="10.71875" customWidth="1"/>
    <col min="3340" max="3340" width="1.44140625" customWidth="1"/>
    <col min="3586" max="3586" width="43.44140625" customWidth="1"/>
    <col min="3589" max="3589" width="1.44140625" customWidth="1"/>
    <col min="3590" max="3590" width="9.71875" customWidth="1"/>
    <col min="3591" max="3591" width="10.71875" customWidth="1"/>
    <col min="3596" max="3596" width="1.44140625" customWidth="1"/>
    <col min="3842" max="3842" width="43.44140625" customWidth="1"/>
    <col min="3845" max="3845" width="1.44140625" customWidth="1"/>
    <col min="3846" max="3846" width="9.71875" customWidth="1"/>
    <col min="3847" max="3847" width="10.71875" customWidth="1"/>
    <col min="3852" max="3852" width="1.44140625" customWidth="1"/>
    <col min="4098" max="4098" width="43.44140625" customWidth="1"/>
    <col min="4101" max="4101" width="1.44140625" customWidth="1"/>
    <col min="4102" max="4102" width="9.71875" customWidth="1"/>
    <col min="4103" max="4103" width="10.71875" customWidth="1"/>
    <col min="4108" max="4108" width="1.44140625" customWidth="1"/>
    <col min="4354" max="4354" width="43.44140625" customWidth="1"/>
    <col min="4357" max="4357" width="1.44140625" customWidth="1"/>
    <col min="4358" max="4358" width="9.71875" customWidth="1"/>
    <col min="4359" max="4359" width="10.71875" customWidth="1"/>
    <col min="4364" max="4364" width="1.44140625" customWidth="1"/>
    <col min="4610" max="4610" width="43.44140625" customWidth="1"/>
    <col min="4613" max="4613" width="1.44140625" customWidth="1"/>
    <col min="4614" max="4614" width="9.71875" customWidth="1"/>
    <col min="4615" max="4615" width="10.71875" customWidth="1"/>
    <col min="4620" max="4620" width="1.44140625" customWidth="1"/>
    <col min="4866" max="4866" width="43.44140625" customWidth="1"/>
    <col min="4869" max="4869" width="1.44140625" customWidth="1"/>
    <col min="4870" max="4870" width="9.71875" customWidth="1"/>
    <col min="4871" max="4871" width="10.71875" customWidth="1"/>
    <col min="4876" max="4876" width="1.44140625" customWidth="1"/>
    <col min="5122" max="5122" width="43.44140625" customWidth="1"/>
    <col min="5125" max="5125" width="1.44140625" customWidth="1"/>
    <col min="5126" max="5126" width="9.71875" customWidth="1"/>
    <col min="5127" max="5127" width="10.71875" customWidth="1"/>
    <col min="5132" max="5132" width="1.44140625" customWidth="1"/>
    <col min="5378" max="5378" width="43.44140625" customWidth="1"/>
    <col min="5381" max="5381" width="1.44140625" customWidth="1"/>
    <col min="5382" max="5382" width="9.71875" customWidth="1"/>
    <col min="5383" max="5383" width="10.71875" customWidth="1"/>
    <col min="5388" max="5388" width="1.44140625" customWidth="1"/>
    <col min="5634" max="5634" width="43.44140625" customWidth="1"/>
    <col min="5637" max="5637" width="1.44140625" customWidth="1"/>
    <col min="5638" max="5638" width="9.71875" customWidth="1"/>
    <col min="5639" max="5639" width="10.71875" customWidth="1"/>
    <col min="5644" max="5644" width="1.44140625" customWidth="1"/>
    <col min="5890" max="5890" width="43.44140625" customWidth="1"/>
    <col min="5893" max="5893" width="1.44140625" customWidth="1"/>
    <col min="5894" max="5894" width="9.71875" customWidth="1"/>
    <col min="5895" max="5895" width="10.71875" customWidth="1"/>
    <col min="5900" max="5900" width="1.44140625" customWidth="1"/>
    <col min="6146" max="6146" width="43.44140625" customWidth="1"/>
    <col min="6149" max="6149" width="1.44140625" customWidth="1"/>
    <col min="6150" max="6150" width="9.71875" customWidth="1"/>
    <col min="6151" max="6151" width="10.71875" customWidth="1"/>
    <col min="6156" max="6156" width="1.44140625" customWidth="1"/>
    <col min="6402" max="6402" width="43.44140625" customWidth="1"/>
    <col min="6405" max="6405" width="1.44140625" customWidth="1"/>
    <col min="6406" max="6406" width="9.71875" customWidth="1"/>
    <col min="6407" max="6407" width="10.71875" customWidth="1"/>
    <col min="6412" max="6412" width="1.44140625" customWidth="1"/>
    <col min="6658" max="6658" width="43.44140625" customWidth="1"/>
    <col min="6661" max="6661" width="1.44140625" customWidth="1"/>
    <col min="6662" max="6662" width="9.71875" customWidth="1"/>
    <col min="6663" max="6663" width="10.71875" customWidth="1"/>
    <col min="6668" max="6668" width="1.44140625" customWidth="1"/>
    <col min="6914" max="6914" width="43.44140625" customWidth="1"/>
    <col min="6917" max="6917" width="1.44140625" customWidth="1"/>
    <col min="6918" max="6918" width="9.71875" customWidth="1"/>
    <col min="6919" max="6919" width="10.71875" customWidth="1"/>
    <col min="6924" max="6924" width="1.44140625" customWidth="1"/>
    <col min="7170" max="7170" width="43.44140625" customWidth="1"/>
    <col min="7173" max="7173" width="1.44140625" customWidth="1"/>
    <col min="7174" max="7174" width="9.71875" customWidth="1"/>
    <col min="7175" max="7175" width="10.71875" customWidth="1"/>
    <col min="7180" max="7180" width="1.44140625" customWidth="1"/>
    <col min="7426" max="7426" width="43.44140625" customWidth="1"/>
    <col min="7429" max="7429" width="1.44140625" customWidth="1"/>
    <col min="7430" max="7430" width="9.71875" customWidth="1"/>
    <col min="7431" max="7431" width="10.71875" customWidth="1"/>
    <col min="7436" max="7436" width="1.44140625" customWidth="1"/>
    <col min="7682" max="7682" width="43.44140625" customWidth="1"/>
    <col min="7685" max="7685" width="1.44140625" customWidth="1"/>
    <col min="7686" max="7686" width="9.71875" customWidth="1"/>
    <col min="7687" max="7687" width="10.71875" customWidth="1"/>
    <col min="7692" max="7692" width="1.44140625" customWidth="1"/>
    <col min="7938" max="7938" width="43.44140625" customWidth="1"/>
    <col min="7941" max="7941" width="1.44140625" customWidth="1"/>
    <col min="7942" max="7942" width="9.71875" customWidth="1"/>
    <col min="7943" max="7943" width="10.71875" customWidth="1"/>
    <col min="7948" max="7948" width="1.44140625" customWidth="1"/>
    <col min="8194" max="8194" width="43.44140625" customWidth="1"/>
    <col min="8197" max="8197" width="1.44140625" customWidth="1"/>
    <col min="8198" max="8198" width="9.71875" customWidth="1"/>
    <col min="8199" max="8199" width="10.71875" customWidth="1"/>
    <col min="8204" max="8204" width="1.44140625" customWidth="1"/>
    <col min="8450" max="8450" width="43.44140625" customWidth="1"/>
    <col min="8453" max="8453" width="1.44140625" customWidth="1"/>
    <col min="8454" max="8454" width="9.71875" customWidth="1"/>
    <col min="8455" max="8455" width="10.71875" customWidth="1"/>
    <col min="8460" max="8460" width="1.44140625" customWidth="1"/>
    <col min="8706" max="8706" width="43.44140625" customWidth="1"/>
    <col min="8709" max="8709" width="1.44140625" customWidth="1"/>
    <col min="8710" max="8710" width="9.71875" customWidth="1"/>
    <col min="8711" max="8711" width="10.71875" customWidth="1"/>
    <col min="8716" max="8716" width="1.44140625" customWidth="1"/>
    <col min="8962" max="8962" width="43.44140625" customWidth="1"/>
    <col min="8965" max="8965" width="1.44140625" customWidth="1"/>
    <col min="8966" max="8966" width="9.71875" customWidth="1"/>
    <col min="8967" max="8967" width="10.71875" customWidth="1"/>
    <col min="8972" max="8972" width="1.44140625" customWidth="1"/>
    <col min="9218" max="9218" width="43.44140625" customWidth="1"/>
    <col min="9221" max="9221" width="1.44140625" customWidth="1"/>
    <col min="9222" max="9222" width="9.71875" customWidth="1"/>
    <col min="9223" max="9223" width="10.71875" customWidth="1"/>
    <col min="9228" max="9228" width="1.44140625" customWidth="1"/>
    <col min="9474" max="9474" width="43.44140625" customWidth="1"/>
    <col min="9477" max="9477" width="1.44140625" customWidth="1"/>
    <col min="9478" max="9478" width="9.71875" customWidth="1"/>
    <col min="9479" max="9479" width="10.71875" customWidth="1"/>
    <col min="9484" max="9484" width="1.44140625" customWidth="1"/>
    <col min="9730" max="9730" width="43.44140625" customWidth="1"/>
    <col min="9733" max="9733" width="1.44140625" customWidth="1"/>
    <col min="9734" max="9734" width="9.71875" customWidth="1"/>
    <col min="9735" max="9735" width="10.71875" customWidth="1"/>
    <col min="9740" max="9740" width="1.44140625" customWidth="1"/>
    <col min="9986" max="9986" width="43.44140625" customWidth="1"/>
    <col min="9989" max="9989" width="1.44140625" customWidth="1"/>
    <col min="9990" max="9990" width="9.71875" customWidth="1"/>
    <col min="9991" max="9991" width="10.71875" customWidth="1"/>
    <col min="9996" max="9996" width="1.44140625" customWidth="1"/>
    <col min="10242" max="10242" width="43.44140625" customWidth="1"/>
    <col min="10245" max="10245" width="1.44140625" customWidth="1"/>
    <col min="10246" max="10246" width="9.71875" customWidth="1"/>
    <col min="10247" max="10247" width="10.71875" customWidth="1"/>
    <col min="10252" max="10252" width="1.44140625" customWidth="1"/>
    <col min="10498" max="10498" width="43.44140625" customWidth="1"/>
    <col min="10501" max="10501" width="1.44140625" customWidth="1"/>
    <col min="10502" max="10502" width="9.71875" customWidth="1"/>
    <col min="10503" max="10503" width="10.71875" customWidth="1"/>
    <col min="10508" max="10508" width="1.44140625" customWidth="1"/>
    <col min="10754" max="10754" width="43.44140625" customWidth="1"/>
    <col min="10757" max="10757" width="1.44140625" customWidth="1"/>
    <col min="10758" max="10758" width="9.71875" customWidth="1"/>
    <col min="10759" max="10759" width="10.71875" customWidth="1"/>
    <col min="10764" max="10764" width="1.44140625" customWidth="1"/>
    <col min="11010" max="11010" width="43.44140625" customWidth="1"/>
    <col min="11013" max="11013" width="1.44140625" customWidth="1"/>
    <col min="11014" max="11014" width="9.71875" customWidth="1"/>
    <col min="11015" max="11015" width="10.71875" customWidth="1"/>
    <col min="11020" max="11020" width="1.44140625" customWidth="1"/>
    <col min="11266" max="11266" width="43.44140625" customWidth="1"/>
    <col min="11269" max="11269" width="1.44140625" customWidth="1"/>
    <col min="11270" max="11270" width="9.71875" customWidth="1"/>
    <col min="11271" max="11271" width="10.71875" customWidth="1"/>
    <col min="11276" max="11276" width="1.44140625" customWidth="1"/>
    <col min="11522" max="11522" width="43.44140625" customWidth="1"/>
    <col min="11525" max="11525" width="1.44140625" customWidth="1"/>
    <col min="11526" max="11526" width="9.71875" customWidth="1"/>
    <col min="11527" max="11527" width="10.71875" customWidth="1"/>
    <col min="11532" max="11532" width="1.44140625" customWidth="1"/>
    <col min="11778" max="11778" width="43.44140625" customWidth="1"/>
    <col min="11781" max="11781" width="1.44140625" customWidth="1"/>
    <col min="11782" max="11782" width="9.71875" customWidth="1"/>
    <col min="11783" max="11783" width="10.71875" customWidth="1"/>
    <col min="11788" max="11788" width="1.44140625" customWidth="1"/>
    <col min="12034" max="12034" width="43.44140625" customWidth="1"/>
    <col min="12037" max="12037" width="1.44140625" customWidth="1"/>
    <col min="12038" max="12038" width="9.71875" customWidth="1"/>
    <col min="12039" max="12039" width="10.71875" customWidth="1"/>
    <col min="12044" max="12044" width="1.44140625" customWidth="1"/>
    <col min="12290" max="12290" width="43.44140625" customWidth="1"/>
    <col min="12293" max="12293" width="1.44140625" customWidth="1"/>
    <col min="12294" max="12294" width="9.71875" customWidth="1"/>
    <col min="12295" max="12295" width="10.71875" customWidth="1"/>
    <col min="12300" max="12300" width="1.44140625" customWidth="1"/>
    <col min="12546" max="12546" width="43.44140625" customWidth="1"/>
    <col min="12549" max="12549" width="1.44140625" customWidth="1"/>
    <col min="12550" max="12550" width="9.71875" customWidth="1"/>
    <col min="12551" max="12551" width="10.71875" customWidth="1"/>
    <col min="12556" max="12556" width="1.44140625" customWidth="1"/>
    <col min="12802" max="12802" width="43.44140625" customWidth="1"/>
    <col min="12805" max="12805" width="1.44140625" customWidth="1"/>
    <col min="12806" max="12806" width="9.71875" customWidth="1"/>
    <col min="12807" max="12807" width="10.71875" customWidth="1"/>
    <col min="12812" max="12812" width="1.44140625" customWidth="1"/>
    <col min="13058" max="13058" width="43.44140625" customWidth="1"/>
    <col min="13061" max="13061" width="1.44140625" customWidth="1"/>
    <col min="13062" max="13062" width="9.71875" customWidth="1"/>
    <col min="13063" max="13063" width="10.71875" customWidth="1"/>
    <col min="13068" max="13068" width="1.44140625" customWidth="1"/>
    <col min="13314" max="13314" width="43.44140625" customWidth="1"/>
    <col min="13317" max="13317" width="1.44140625" customWidth="1"/>
    <col min="13318" max="13318" width="9.71875" customWidth="1"/>
    <col min="13319" max="13319" width="10.71875" customWidth="1"/>
    <col min="13324" max="13324" width="1.44140625" customWidth="1"/>
    <col min="13570" max="13570" width="43.44140625" customWidth="1"/>
    <col min="13573" max="13573" width="1.44140625" customWidth="1"/>
    <col min="13574" max="13574" width="9.71875" customWidth="1"/>
    <col min="13575" max="13575" width="10.71875" customWidth="1"/>
    <col min="13580" max="13580" width="1.44140625" customWidth="1"/>
    <col min="13826" max="13826" width="43.44140625" customWidth="1"/>
    <col min="13829" max="13829" width="1.44140625" customWidth="1"/>
    <col min="13830" max="13830" width="9.71875" customWidth="1"/>
    <col min="13831" max="13831" width="10.71875" customWidth="1"/>
    <col min="13836" max="13836" width="1.44140625" customWidth="1"/>
    <col min="14082" max="14082" width="43.44140625" customWidth="1"/>
    <col min="14085" max="14085" width="1.44140625" customWidth="1"/>
    <col min="14086" max="14086" width="9.71875" customWidth="1"/>
    <col min="14087" max="14087" width="10.71875" customWidth="1"/>
    <col min="14092" max="14092" width="1.44140625" customWidth="1"/>
    <col min="14338" max="14338" width="43.44140625" customWidth="1"/>
    <col min="14341" max="14341" width="1.44140625" customWidth="1"/>
    <col min="14342" max="14342" width="9.71875" customWidth="1"/>
    <col min="14343" max="14343" width="10.71875" customWidth="1"/>
    <col min="14348" max="14348" width="1.44140625" customWidth="1"/>
    <col min="14594" max="14594" width="43.44140625" customWidth="1"/>
    <col min="14597" max="14597" width="1.44140625" customWidth="1"/>
    <col min="14598" max="14598" width="9.71875" customWidth="1"/>
    <col min="14599" max="14599" width="10.71875" customWidth="1"/>
    <col min="14604" max="14604" width="1.44140625" customWidth="1"/>
    <col min="14850" max="14850" width="43.44140625" customWidth="1"/>
    <col min="14853" max="14853" width="1.44140625" customWidth="1"/>
    <col min="14854" max="14854" width="9.71875" customWidth="1"/>
    <col min="14855" max="14855" width="10.71875" customWidth="1"/>
    <col min="14860" max="14860" width="1.44140625" customWidth="1"/>
    <col min="15106" max="15106" width="43.44140625" customWidth="1"/>
    <col min="15109" max="15109" width="1.44140625" customWidth="1"/>
    <col min="15110" max="15110" width="9.71875" customWidth="1"/>
    <col min="15111" max="15111" width="10.71875" customWidth="1"/>
    <col min="15116" max="15116" width="1.44140625" customWidth="1"/>
    <col min="15362" max="15362" width="43.44140625" customWidth="1"/>
    <col min="15365" max="15365" width="1.44140625" customWidth="1"/>
    <col min="15366" max="15366" width="9.71875" customWidth="1"/>
    <col min="15367" max="15367" width="10.71875" customWidth="1"/>
    <col min="15372" max="15372" width="1.44140625" customWidth="1"/>
    <col min="15618" max="15618" width="43.44140625" customWidth="1"/>
    <col min="15621" max="15621" width="1.44140625" customWidth="1"/>
    <col min="15622" max="15622" width="9.71875" customWidth="1"/>
    <col min="15623" max="15623" width="10.71875" customWidth="1"/>
    <col min="15628" max="15628" width="1.44140625" customWidth="1"/>
    <col min="15874" max="15874" width="43.44140625" customWidth="1"/>
    <col min="15877" max="15877" width="1.44140625" customWidth="1"/>
    <col min="15878" max="15878" width="9.71875" customWidth="1"/>
    <col min="15879" max="15879" width="10.71875" customWidth="1"/>
    <col min="15884" max="15884" width="1.44140625" customWidth="1"/>
    <col min="16130" max="16130" width="43.44140625" customWidth="1"/>
    <col min="16133" max="16133" width="1.44140625" customWidth="1"/>
    <col min="16134" max="16134" width="9.71875" customWidth="1"/>
    <col min="16135" max="16135" width="10.71875" customWidth="1"/>
    <col min="16140" max="16140" width="1.44140625" customWidth="1"/>
  </cols>
  <sheetData>
    <row r="1" spans="2:9" ht="12.9" x14ac:dyDescent="0.5">
      <c r="B1" s="155"/>
      <c r="C1" s="155"/>
      <c r="D1" s="155"/>
      <c r="E1" s="155"/>
      <c r="F1" s="155" t="s">
        <v>97</v>
      </c>
      <c r="G1" s="155"/>
    </row>
    <row r="2" spans="2:9" ht="12.9" x14ac:dyDescent="0.5">
      <c r="B2" s="156" t="s">
        <v>96</v>
      </c>
      <c r="C2" s="155"/>
      <c r="D2" s="155" t="s">
        <v>99</v>
      </c>
      <c r="E2" s="155"/>
      <c r="F2" s="156" t="s">
        <v>62</v>
      </c>
      <c r="G2" s="156" t="s">
        <v>61</v>
      </c>
    </row>
    <row r="3" spans="2:9" ht="12.9" x14ac:dyDescent="0.5">
      <c r="B3" s="155" t="s">
        <v>107</v>
      </c>
      <c r="C3" s="157">
        <f>F3</f>
        <v>0</v>
      </c>
      <c r="D3" s="157">
        <f>G3-C3</f>
        <v>0</v>
      </c>
      <c r="E3" s="157"/>
      <c r="F3" s="158"/>
      <c r="G3" s="158"/>
      <c r="H3" s="154"/>
      <c r="I3" t="s">
        <v>100</v>
      </c>
    </row>
    <row r="4" spans="2:9" ht="12.9" x14ac:dyDescent="0.5">
      <c r="B4" s="155" t="s">
        <v>108</v>
      </c>
      <c r="C4" s="157">
        <f>F4</f>
        <v>0</v>
      </c>
      <c r="D4" s="157">
        <f>G4-C4</f>
        <v>0</v>
      </c>
      <c r="E4" s="155"/>
      <c r="F4" s="158"/>
      <c r="G4" s="158"/>
      <c r="H4" s="154"/>
      <c r="I4" s="154" t="s">
        <v>101</v>
      </c>
    </row>
    <row r="5" spans="2:9" ht="12.9" x14ac:dyDescent="0.5">
      <c r="B5" s="155" t="s">
        <v>109</v>
      </c>
      <c r="C5" s="157">
        <f>F5</f>
        <v>0</v>
      </c>
      <c r="D5" s="157">
        <f>G5-C5</f>
        <v>0</v>
      </c>
      <c r="E5" s="155"/>
      <c r="F5" s="158"/>
      <c r="G5" s="158"/>
      <c r="H5" s="154"/>
      <c r="I5" s="154"/>
    </row>
    <row r="6" spans="2:9" ht="12.9" x14ac:dyDescent="0.5">
      <c r="B6" s="155" t="s">
        <v>110</v>
      </c>
      <c r="C6" s="157">
        <f>F6</f>
        <v>0</v>
      </c>
      <c r="D6" s="157">
        <f>G6-C6</f>
        <v>0</v>
      </c>
      <c r="E6" s="155"/>
      <c r="F6" s="158"/>
      <c r="G6" s="158"/>
    </row>
    <row r="7" spans="2:9" ht="12.9" x14ac:dyDescent="0.5">
      <c r="B7" s="155" t="s">
        <v>111</v>
      </c>
      <c r="C7" s="157">
        <f>F7</f>
        <v>0</v>
      </c>
      <c r="D7" s="157">
        <f>G7-C7</f>
        <v>0</v>
      </c>
      <c r="E7" s="155"/>
      <c r="F7" s="158"/>
      <c r="G7" s="158"/>
    </row>
  </sheetData>
  <pageMargins left="0.75" right="0.75" top="1" bottom="1" header="0.5" footer="0.5"/>
  <pageSetup scale="75" orientation="landscape" horizontalDpi="4294967293" verticalDpi="4294967293"/>
  <headerFooter alignWithMargins="0">
    <oddHeader>&amp;CValuation Summary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482AA452DBDD409984A220F472C0B1" ma:contentTypeVersion="5" ma:contentTypeDescription="Create a new document." ma:contentTypeScope="" ma:versionID="e48fdfa4ed565e9f0e947d4305e58a3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45950d01807e69113054af3ca23cde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C4F4F-E29D-4A11-A0E9-C6DEF0A579C5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FB76BA1-08E9-4F76-A1E0-9F2DB0320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01A1E7-2665-47EE-BB04-705C04DFF3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WACCtemplate </vt:lpstr>
      <vt:lpstr>DCF</vt:lpstr>
      <vt:lpstr>DCF Assumptions</vt:lpstr>
      <vt:lpstr>FootballField</vt:lpstr>
      <vt:lpstr>cash</vt:lpstr>
      <vt:lpstr>debt</vt:lpstr>
      <vt:lpstr>FYE</vt:lpstr>
      <vt:lpstr>high</vt:lpstr>
      <vt:lpstr>low</vt:lpstr>
      <vt:lpstr>mininterest</vt:lpstr>
      <vt:lpstr>multiple</vt:lpstr>
      <vt:lpstr>Name</vt:lpstr>
      <vt:lpstr>prefstock</vt:lpstr>
      <vt:lpstr>DCF!Print_Area</vt:lpstr>
      <vt:lpstr>'DCF Assumptions'!Print_Area</vt:lpstr>
      <vt:lpstr>FootballField!Print_Area</vt:lpstr>
      <vt:lpstr>'WACCtemplate '!Print_Area</vt:lpstr>
      <vt:lpstr>rate</vt:lpstr>
      <vt:lpstr>shareprice</vt:lpstr>
      <vt:lpstr>sharesout</vt:lpstr>
      <vt:lpstr>Subheader</vt:lpstr>
      <vt:lpstr>target</vt:lpstr>
      <vt:lpstr>tax</vt:lpstr>
      <vt:lpstr>termgrowth</vt:lpstr>
      <vt:lpstr>valdate</vt:lpstr>
      <vt:lpstr>yield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Abrams, Scott</cp:lastModifiedBy>
  <dcterms:created xsi:type="dcterms:W3CDTF">2011-10-23T17:58:57Z</dcterms:created>
  <dcterms:modified xsi:type="dcterms:W3CDTF">2024-10-29T10:13:41Z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0x010100B8482AA452DBDD409984A220F472C0B1</vt:lpwstr>
  </property>
</Properties>
</file>